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3500cdc13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 Balance" sheetId="1" r:id="Re4c710c0e64e43ec"/>
    <x:sheet xmlns:r="http://schemas.openxmlformats.org/officeDocument/2006/relationships" name="Revenue basis" sheetId="2" r:id="Rd6188ccc88894565"/>
    <x:sheet xmlns:r="http://schemas.openxmlformats.org/officeDocument/2006/relationships" name="Base Cash Flow" sheetId="3" r:id="R3370a849ff5e418f"/>
    <x:sheet xmlns:r="http://schemas.openxmlformats.org/officeDocument/2006/relationships" name="Inputs" sheetId="4" r:id="R1b1e3515ace54d0b"/>
    <x:sheet xmlns:r="http://schemas.openxmlformats.org/officeDocument/2006/relationships" name="Base Monthly" sheetId="5" r:id="Rd0f87e70b4824bf7"/>
  </x:sheets>
</x:workbook>
</file>

<file path=xl/comments1.xml><?xml version="1.0" encoding="utf-8"?>
<x:comments xmlns:x="http://schemas.openxmlformats.org/spreadsheetml/2006/main">
  <x:authors>
    <x:author>Claude</x:author>
  </x:authors>
  <x:commentList>
    <x:comment ref="F21" authorId="0">
      <x:text>
        <x:r>
          <x:t>Было: 0
Стало: =Inputs!$B$23</x:t>
        </x:r>
      </x:text>
    </x:comment>
    <x:comment ref="G21" authorId="0">
      <x:text>
        <x:r>
          <x:t>Было: =Inputs!$B$23
Стало: 0</x:t>
        </x:r>
      </x:text>
    </x:comment>
    <x:comment ref="I21" authorId="0">
      <x:text>
        <x:r>
          <x:t>Было: 0
Стало: =Inputs!$B$24</x:t>
        </x:r>
      </x:text>
    </x:comment>
    <x:comment ref="J21" authorId="0">
      <x:text>
        <x:r>
          <x:t>Было: =Inputs!$B$24
Стало: 0</x:t>
        </x:r>
      </x:text>
    </x:comment>
    <x:comment ref="D51" authorId="0">
      <x:text>
        <x:r>
          <x:t>Было: =Inputs!$B$19
Стало: 0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<x:sst xmlns:x="http://schemas.openxmlformats.org/spreadsheetml/2006/main">
  <x:si>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Oristella base development balance (USD)</x:t>
  </x:si>
  <x:si>
    <x:t xml:space="preserve">Base case: $460,000 founder resources and $460,000 investor cash.</x:t>
  </x:si>
  <x:si>
    <x:t xml:space="preserve">Balance date</x:t>
  </x:si>
  <x:si>
    <x:t xml:space="preserve">31 Dec 2027</x:t>
  </x:si>
  <x:si>
    <x:t xml:space="preserve">31 Dec 2028</x:t>
  </x:si>
  <x:si>
    <x:t xml:space="preserve">Equipment acquired under the deployment budget</x:t>
  </x:si>
  <x:si>
    <x:t xml:space="preserve">Purchased software rights</x:t>
  </x:si>
  <x:si>
    <x:t xml:space="preserve">Software developed during the forecast</x:t>
  </x:si>
  <x:si>
    <x:t xml:space="preserve">Cash and cash equivalents</x:t>
  </x:si>
  <x:si>
    <x:t xml:space="preserve">Funding obligations and project capital</x:t>
  </x:si>
  <x:si>
    <x:t xml:space="preserve">Investor financing pending agreed instrument</x:t>
  </x:si>
  <x:si>
    <x:t xml:space="preserve">Income tax payable</x:t>
  </x:si>
  <x:si>
    <x:t xml:space="preserve">Total obligations and provisional financing</x:t>
  </x:si>
  <x:si>
    <x:t xml:space="preserve">Accumulated retained results</x:t>
  </x:si>
  <x:si>
    <x:t xml:space="preserve">Balance difference (must be zero)</x:t>
  </x:si>
  <x:si>
    <x:t xml:space="preserve">Performance for the reporting period</x:t>
  </x:si>
  <x:si>
    <x:t xml:space="preserve">Customer sales and cash receipts</x:t>
  </x:si>
  <x:si>
    <x:t xml:space="preserve">Free cash flow before financing</x:t>
  </x:si>
  <x:si>
    <x:t xml:space="preserve">Minimum monthly cash in period</x:t>
  </x:si>
  <x:si>
    <x:t xml:space="preserve">Requested investor cash funding</x:t>
  </x:si>
  <x:si>
    <x:t xml:space="preserve">Additional financing requested</x:t>
  </x:si>
  <x:si>
    <x:t xml:space="preserve">Distributions</x:t>
  </x:si>
  <x:si>
    <x:t xml:space="preserve">Net cash from operating activities</x:t>
  </x:si>
  <x:si>
    <x:t xml:space="preserve">Basis of the management presentation</x:t>
  </x:si>
  <x:si>
    <x:t xml:space="preserve">Additional equipment and software purchases remain $159,000 and must be reconciled against the supplied inventory. Prepared people and internal orders are not separately capitalised.</x:t>
  </x:si>
  <x:si>
    <x:t xml:space="preserve">The $50,000 cash buffer is a reference, not a binding minimum. No additional funding or reserve replenishment is requested. Timing of subscriptions and customer receipts follows the stated schedule.</x:t>
  </x:si>
  <x:si>
    <x:t xml:space="preserve">November-December 2027: revenue held at the October 2027 level; 2028: +10% at the start of each quarter, constant within the quarter</x:t>
  </x:si>
  <x:si>
    <x:t xml:space="preserve">Revenue by stream, first twelve months (November 2026 - October 2027)</x:t>
  </x:si>
  <x:si>
    <x:t xml:space="preserve">USD</x:t>
  </x:si>
  <x:si>
    <x:t xml:space="preserve">Initial geological models and trials</x:t>
  </x:si>
  <x:si>
    <x:t xml:space="preserve">Geological model updates</x:t>
  </x:si>
  <x:si>
    <x:t xml:space="preserve">Financial management packages</x:t>
  </x:si>
  <x:si>
    <x:t xml:space="preserve">Mapping services</x:t>
  </x:si>
  <x:si>
    <x:t xml:space="preserve">Operational packages</x:t>
  </x:si>
  <x:si>
    <x:t xml:space="preserve">Project services (feasibility study packages, surveys)</x:t>
  </x:si>
  <x:si>
    <x:t xml:space="preserve">Total</x:t>
  </x:si>
  <x:si>
    <x:t xml:space="preserve">Monthly model, months 1-12</x:t>
  </x:si>
  <x:si>
    <x:t xml:space="preserve">Check (must be zero)</x:t>
  </x:si>
  <x:si>
    <x:t xml:space="preserve">Oristella base cash flow (USD)</x:t>
  </x:si>
  <x:si>
    <x:t xml:space="preserve">Cash flow for the period</x:t>
  </x:si>
  <x:si>
    <x:t xml:space="preserve">Nov 2026-Dec 2027</x:t>
  </x:si>
  <x:si>
    <x:t xml:space="preserve">Jan-Dec 2028</x:t>
  </x:si>
  <x:si>
    <x:t xml:space="preserve">Opening cash</x:t>
  </x:si>
  <x:si>
    <x:t xml:space="preserve">Customer cash receipts</x:t>
  </x:si>
  <x:si>
    <x:t xml:space="preserve">Cash operating expenditure</x:t>
  </x:si>
  <x:si>
    <x:t xml:space="preserve">Development costs classified as investment</x:t>
  </x:si>
  <x:si>
    <x:t xml:space="preserve">Income tax paid</x:t>
  </x:si>
  <x:si>
    <x:t xml:space="preserve">Equipment purchases</x:t>
  </x:si>
  <x:si>
    <x:t xml:space="preserve">Capitalised development expenditure</x:t>
  </x:si>
  <x:si>
    <x:t xml:space="preserve">Net cash used in investing activities</x:t>
  </x:si>
  <x:si>
    <x:t xml:space="preserve">Investor financing received</x:t>
  </x:si>
  <x:si>
    <x:t xml:space="preserve">Founder cash contribution</x:t>
  </x:si>
  <x:si>
    <x:t xml:space="preserve">Financing repayments and distributions</x:t>
  </x:si>
  <x:si>
    <x:t xml:space="preserve">Net cash from financing activities</x:t>
  </x:si>
  <x:si>
    <x:t xml:space="preserve">Net change in cash</x:t>
  </x:si>
  <x:si>
    <x:t xml:space="preserve">Closing cash</x:t>
  </x:si>
  <x:si>
    <x:t xml:space="preserve">Cash difference against balance (must be zero)</x:t>
  </x:si>
  <x:si>
    <x:t xml:space="preserve">Minimum monthly closing cash</x:t>
  </x:si>
  <x:si>
    <x:t xml:space="preserve">Cash is retained. The founder contribution of $460,000 is non-cash and is excluded from receipts.</x:t>
  </x:si>
  <x:si>
    <x:t xml:space="preserve">The first reporting period contains 14 months; the second contains 12 months. No new franchise or token revenue is assumed.</x:t>
  </x:si>
  <x:si>
    <x:t xml:space="preserve">Oristella development project assumptions</x:t>
  </x:si>
  <x:si>
    <x:t xml:space="preserve">Assumption</x:t>
  </x:si>
  <x:si>
    <x:t xml:space="preserve">Value</x:t>
  </x:si>
  <x:si>
    <x:t xml:space="preserve">Source</x:t>
  </x:si>
  <x:si>
    <x:t xml:space="preserve">Revenue growth at the start of each quarter in 2028</x:t>
  </x:si>
  <x:si>
    <x:t xml:space="preserve">Revenue growth November-December 2027</x:t>
  </x:si>
  <x:si>
    <x:t xml:space="preserve">Held at the exit rate of months 10-12</x:t>
  </x:si>
  <x:si>
    <x:t xml:space="preserve">Operating expenses from November 2027</x:t>
  </x:si>
  <x:si>
    <x:t xml:space="preserve">Exit revenue base: month 12 (October 2027)</x:t>
  </x:si>
  <x:si>
    <x:t xml:space="preserve">Revenue held at the October 2027 level in November-December 2027, so no month falls below the previous one</x:t>
  </x:si>
  <x:si>
    <x:t xml:space="preserve">Corporate tax rate, United Arab Emirates (Dubai)</x:t>
  </x:si>
  <x:si>
    <x:t xml:space="preserve">Annual depreciation and amortisation rate (straight line, 5 years)</x:t>
  </x:si>
  <x:si>
    <x:t xml:space="preserve">Approved cash distributions (USD)</x:t>
  </x:si>
  <x:si>
    <x:t xml:space="preserve">No repayment or distribution is assumed. Cash remains available for operations and development.</x:t>
  </x:si>
  <x:si>
    <x:t xml:space="preserve">Share of development team costs capitalised as software development</x:t>
  </x:si>
  <x:si>
    <x:t xml:space="preserve">Taxable income taxed at 0 % (AED 375,000 at 3.6725 per US dollar)</x:t>
  </x:si>
  <x:si>
    <x:t xml:space="preserve">Cabinet Decision on the taxable income threshold</x:t>
  </x:si>
  <x:si>
    <x:t xml:space="preserve">MODEL VARIANT (enter 1 or 2)</x:t>
  </x:si>
  <x:si>
    <x:t xml:space="preserve">Share capitalised in financial year 1 (November 2026 - December 2027)</x:t>
  </x:si>
  <x:si>
    <x:t xml:space="preserve">Variant 1: 0 %; variant 2: same as 2028</x:t>
  </x:si>
  <x:si>
    <x:t xml:space="preserve">Base customer receipt factor</x:t>
  </x:si>
  <x:si>
    <x:t xml:space="preserve">Base sales collected in the month. Stress receipts and sales are reduced together, with no additional receivable.</x:t>
  </x:si>
  <x:si>
    <x:t xml:space="preserve">Reference liquidity buffer</x:t>
  </x:si>
  <x:si>
    <x:t xml:space="preserve">Reference only. No additional funding or reserve replenishment is requested.</x:t>
  </x:si>
  <x:si>
    <x:t xml:space="preserve">Investor terms</x:t>
  </x:si>
  <x:si>
    <x:t xml:space="preserve">To be agreed</x:t>
  </x:si>
  <x:si>
    <x:t xml:space="preserve">Financing shown separately pending fund agreement. No fixed ownership, maturity, repayment or distributions.</x:t>
  </x:si>
  <x:si>
    <x:t xml:space="preserve">Stress reduction in revenue and customer receipts</x:t>
  </x:si>
  <x:si>
    <x:t xml:space="preserve">Stress uplift in cash operating expenditure</x:t>
  </x:si>
  <x:si>
    <x:t xml:space="preserve">All monthly cash operating costs increase by 10%. Extra costs are expensed; capitalised development and fixed asset purchases are unchanged.</x:t>
  </x:si>
  <x:si>
    <x:t xml:space="preserve">First subscription - November 2026</x:t>
  </x:si>
  <x:si>
    <x:t xml:space="preserve">Rounded funding request of $460,000; final tranche increased to $50,000.</x:t>
  </x:si>
  <x:si>
    <x:t xml:space="preserve">Total requested cash financing</x:t>
  </x:si>
  <x:si>
    <x:t xml:space="preserve">Same amount in both cases. No additional financing.</x:t>
  </x:si>
  <x:si>
    <x:t xml:space="preserve">Dubai company formation</x:t>
  </x:si>
  <x:si>
    <x:t xml:space="preserve">Already paid</x:t>
  </x:si>
  <x:si>
    <x:t xml:space="preserve">Prepared team and internal orders</x:t>
  </x:si>
  <x:si>
    <x:t xml:space="preserve">Operating readiness</x:t>
  </x:si>
  <x:si>
    <x:t xml:space="preserve">Prior salaried development and the prepared team support readiness. People are not booked as property. Internal orders are not added to the contribution value; sales are recognised in the existing operating forecast.</x:t>
  </x:si>
  <x:si>
    <x:t xml:space="preserve">Incremental purchases</x:t>
  </x:si>
  <x:si>
    <x:t xml:space="preserve">Existing forecast retains $90,000 equipment and $69,000 software purchases, additional to the provided base. Reconcile inventory before procurement to prevent overlap.</x:t>
  </x:si>
  <x:si>
    <x:t xml:space="preserve">Management project balance</x:t>
  </x:si>
  <x:si>
    <x:t xml:space="preserve">Expert assessment of first two external assignments</x:t>
  </x:si>
  <x:si>
    <x:t xml:space="preserve">Included in initial delivery</x:t>
  </x:si>
  <x:si>
    <x:t xml:space="preserve">No separate assessment fee. Internal assessment uses the existing delivery and development cost budgets. Future automation savings are not added to either forecast; any external specialist work outside these budgets is separately contracted.</x:t>
  </x:si>
  <x:si>
    <x:t xml:space="preserve">Oristella base monthly development forecast (USD)</x:t>
  </x:si>
  <x:si>
    <x:t xml:space="preserve">Base forecast. Founder resources are non-cash. No distributions or scheduled financing repayment.</x:t>
  </x:si>
  <x:si>
    <x:t xml:space="preserve">Project month</x:t>
  </x:si>
  <x:si>
    <x:t xml:space="preserve">Month</x:t>
  </x:si>
  <x:si>
    <x:t xml:space="preserve">Nov 2026</x:t>
  </x:si>
  <x:si>
    <x:t xml:space="preserve">Dec 2026</x:t>
  </x:si>
  <x:si>
    <x:t xml:space="preserve">Jan 2027</x:t>
  </x:si>
  <x:si>
    <x:t xml:space="preserve">Feb 2027</x:t>
  </x:si>
  <x:si>
    <x:t xml:space="preserve">Mar 2027</x:t>
  </x:si>
  <x:si>
    <x:t xml:space="preserve">Apr 2027</x:t>
  </x:si>
  <x:si>
    <x:t xml:space="preserve">May 2027</x:t>
  </x:si>
  <x:si>
    <x:t xml:space="preserve">Jun 2027</x:t>
  </x:si>
  <x:si>
    <x:t xml:space="preserve">Jul 2027</x:t>
  </x:si>
  <x:si>
    <x:t xml:space="preserve">Aug 2027</x:t>
  </x:si>
  <x:si>
    <x:t xml:space="preserve">Sep 2027</x:t>
  </x:si>
  <x:si>
    <x:t xml:space="preserve">Oct 2027</x:t>
  </x:si>
  <x:si>
    <x:t xml:space="preserve">Nov 2027</x:t>
  </x:si>
  <x:si>
    <x:t xml:space="preserve">Dec 2027</x:t>
  </x:si>
  <x:si>
    <x:t xml:space="preserve">Jan 2028</x:t>
  </x:si>
  <x:si>
    <x:t xml:space="preserve">Feb 2028</x:t>
  </x:si>
  <x:si>
    <x:t xml:space="preserve">Mar 2028</x:t>
  </x:si>
  <x:si>
    <x:t xml:space="preserve">Apr 2028</x:t>
  </x:si>
  <x:si>
    <x:t xml:space="preserve">May 2028</x:t>
  </x:si>
  <x:si>
    <x:t xml:space="preserve">Jun 2028</x:t>
  </x:si>
  <x:si>
    <x:t xml:space="preserve">Jul 2028</x:t>
  </x:si>
  <x:si>
    <x:t xml:space="preserve">Aug 2028</x:t>
  </x:si>
  <x:si>
    <x:t xml:space="preserve">Sep 2028</x:t>
  </x:si>
  <x:si>
    <x:t xml:space="preserve">Oct 2028</x:t>
  </x:si>
  <x:si>
    <x:t xml:space="preserve">Nov 2028</x:t>
  </x:si>
  <x:si>
    <x:t xml:space="preserve">Dec 2028</x:t>
  </x:si>
  <x:si>
    <x:t xml:space="preserve">Revenue (received in cash in the month)</x:t>
  </x:si>
  <x:si>
    <x:t xml:space="preserve">Operating expenses (staff, suppliers, services)</x:t>
  </x:si>
  <x:si>
    <x:t xml:space="preserve">Additions - property, plant and equipment</x:t>
  </x:si>
  <x:si>
    <x:t xml:space="preserve">Additions - purchased software rights</x:t>
  </x:si>
  <x:si>
    <x:t xml:space="preserve">Property, plant and equipment - cost, cumulative</x:t>
  </x:si>
  <x:si>
    <x:t xml:space="preserve">Software rights - cost, cumulative</x:t>
  </x:si>
  <x:si>
    <x:t xml:space="preserve">Depreciation - property, plant and equipment</x:t>
  </x:si>
  <x:si>
    <x:t xml:space="preserve">Amortisation - software rights</x:t>
  </x:si>
  <x:si>
    <x:t xml:space="preserve">Accumulated depreciation, cumulative</x:t>
  </x:si>
  <x:si>
    <x:t xml:space="preserve">Accumulated amortisation, cumulative</x:t>
  </x:si>
  <x:si>
    <x:t xml:space="preserve">Property, plant and equipment - carrying amount</x:t>
  </x:si>
  <x:si>
    <x:t xml:space="preserve">Software rights - carrying amount</x:t>
  </x:si>
  <x:si>
    <x:t xml:space="preserve">Profit before tax</x:t>
  </x:si>
  <x:si>
    <x:t xml:space="preserve">Income tax expense</x:t>
  </x:si>
  <x:si>
    <x:t xml:space="preserve">Profit for the period</x:t>
  </x:si>
  <x:si>
    <x:t xml:space="preserve">Scheduled repayments (none)</x:t>
  </x:si>
  <x:si>
    <x:t xml:space="preserve">Investor financing pending final terms</x:t>
  </x:si>
  <x:si>
    <x:t xml:space="preserve">Income tax payable - balance</x:t>
  </x:si>
  <x:si>
    <x:t xml:space="preserve">Approved cash distributions - total</x:t>
  </x:si>
  <x:si>
    <x:t xml:space="preserve">Retained earnings - balance</x:t>
  </x:si>
  <x:si>
    <x:t xml:space="preserve">Tax and provisional investor financing</x:t>
  </x:si>
  <x:si>
    <x:t xml:space="preserve">Balance check (assets − liabilities − equity)</x:t>
  </x:si>
  <x:si>
    <x:t xml:space="preserve">Development costs capitalised (intangible assets)</x:t>
  </x:si>
  <x:si>
    <x:t xml:space="preserve">Software developed in-house - cost, cumulative</x:t>
  </x:si>
  <x:si>
    <x:t xml:space="preserve">Amortisation - software developed in-house</x:t>
  </x:si>
  <x:si>
    <x:t xml:space="preserve">Accumulated amortisation in-house, cumulative</x:t>
  </x:si>
  <x:si>
    <x:t xml:space="preserve">Software developed in-house - carrying amount</x:t>
  </x:si>
  <x:si>
    <x:t xml:space="preserve">Founder cash receipts (none)</x:t>
  </x:si>
  <x:si>
    <x:t xml:space="preserve">Founder cash capital (none)</x:t>
  </x:si>
  <x:si>
    <x:t xml:space="preserve">Approved aggregate holder distributions</x:t>
  </x:si>
  <x:si>
    <x:t xml:space="preserve">Other holder payments (none scheduled)</x:t>
  </x:si>
  <x:si>
    <x:t xml:space="preserve">Development team costs (lead, specialists, developers, with employer costs)</x:t>
  </x:si>
  <x:si>
    <x:t xml:space="preserve">Free cash flow before financing and distributions</x:t>
  </x:si>
  <x:si>
    <x:t xml:space="preserve">Cumulative free cash flow since November 2026</x:t>
  </x:si>
  <x:si>
    <x:t xml:space="preserve">Cash above unpaid income tax and planning reserve</x:t>
  </x:si>
</x:sst>
</file>

<file path=xl/styles.xml><?xml version="1.0" encoding="utf-8"?>
<x:styleSheet xmlns:x="http://schemas.openxmlformats.org/spreadsheetml/2006/main">
  <x:numFmts count="2">
    <x:numFmt numFmtId="164" formatCode="#,##0;\(#,##0\);&quot;-&quot;"/>
    <x:numFmt numFmtId="165" formatCode="0.0%"/>
  </x:numFmts>
  <x:fonts count="20">
    <x:font>
      <x:sz val="11"/>
      <x:name val="Carlito"/>
    </x:font>
    <x:font>
      <x:sz val="10"/>
      <x:name val="Arial"/>
    </x:font>
    <x:font>
      <x:b/>
      <x:sz val="14"/>
      <x:name val="Arial"/>
    </x:font>
    <x:font>
      <x:sz val="10"/>
      <x:color rgb="FFFFFFFF"/>
      <x:name val="Arial"/>
    </x:font>
    <x:font>
      <x:b/>
      <x:sz val="10"/>
      <x:name val="Arial"/>
    </x:font>
    <x:font>
      <x:sz val="10"/>
      <x:color rgb="FF176B38"/>
      <x:name val="Arial"/>
    </x:font>
    <x:font>
      <x:b/>
      <x:sz val="10"/>
      <x:color rgb="FF176B38"/>
      <x:name val="Arial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176B38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  <x:font>
      <x:sz val="10"/>
      <x:color rgb="FF0000FF"/>
      <x:name val="Arial"/>
    </x:font>
    <x:font>
      <x:sz val="11"/>
      <x:color rgb="FF00A651"/>
      <x:name val="Carlito"/>
    </x:font>
    <x:font>
      <x:b/>
      <x:sz val="11"/>
      <x:color rgb="FF00A651"/>
      <x:name val="Carlito"/>
    </x:font>
    <x:font>
      <x:sz val="11"/>
      <x:color rgb="FFE00000"/>
      <x:name val="Carlito"/>
    </x:font>
    <x:font>
      <x:b/>
      <x:sz val="10"/>
      <x:color rgb="FF202020"/>
      <x:name val="Arial"/>
    </x:font>
    <x:font>
      <x:b/>
      <x:sz val="11"/>
      <x:color rgb="FF202020"/>
      <x:name val="Carlito"/>
    </x:font>
    <x:font>
      <x:sz val="11"/>
      <x:color rgb="FF20202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3F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C6EF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Font="1"/>
    <x:xf numFmtId="164" fontId="1" fillId="0" borderId="0" xfId="0" applyNumberFormat="1" applyFont="1"/>
    <x:xf numFmtId="0" fontId="2" fillId="0" borderId="0" xfId="0" applyFont="1"/>
    <x:xf numFmtId="0" fontId="3" fillId="2" borderId="0" xfId="0" applyFont="1" applyFill="1"/>
    <x:xf numFmtId="0" fontId="1" fillId="0" borderId="0" xfId="0" applyFont="1" applyAlignment="1">
      <x:alignment wrapText="1"/>
    </x:xf>
    <x:xf numFmtId="0" fontId="4" fillId="3" borderId="0" xfId="0" applyFont="1" applyFill="1" applyAlignment="1">
      <x:alignment wrapText="1"/>
    </x:xf>
    <x:xf numFmtId="0" fontId="4" fillId="3" borderId="0" xfId="0" applyFont="1" applyFill="1"/>
    <x:xf numFmtId="164" fontId="4" fillId="3" borderId="0" xfId="0" applyNumberFormat="1" applyFont="1" applyFill="1"/>
    <x:xf numFmtId="0" fontId="5" fillId="0" borderId="0" xfId="0" applyFont="1"/>
    <x:xf numFmtId="0" fontId="5" fillId="0" borderId="0" xfId="0" applyFont="1" applyAlignment="1">
      <x:alignment wrapText="1"/>
    </x:xf>
    <x:xf numFmtId="164" fontId="5" fillId="0" borderId="0" xfId="0" applyNumberFormat="1" applyFont="1"/>
    <x:xf numFmtId="0" fontId="6" fillId="3" borderId="0" xfId="0" applyFont="1" applyFill="1" applyAlignment="1">
      <x:alignment wrapText="1"/>
    </x:xf>
    <x:xf numFmtId="0" fontId="6" fillId="3" borderId="0" xfId="0" applyFont="1" applyFill="1"/>
    <x:xf numFmtId="164" fontId="6" fillId="3" borderId="0" xfId="0" applyNumberFormat="1" applyFont="1" applyFill="1"/>
    <x:xf numFmtId="0" fontId="7" fillId="0" borderId="0" xfId="0" applyFont="1"/>
    <x:xf numFmtId="0" fontId="7" fillId="0" borderId="0" xfId="0" applyFont="1" applyAlignment="1">
      <x:alignment vertical="center" wrapText="1"/>
    </x:xf>
    <x:xf numFmtId="164" fontId="7" fillId="0" borderId="0" xfId="0" applyNumberFormat="1" applyFont="1" applyAlignment="1">
      <x:alignment vertical="center"/>
    </x:xf>
    <x:xf numFmtId="2" fontId="7" fillId="0" borderId="0" xfId="0" applyNumberFormat="1" applyFont="1" applyAlignment="1">
      <x:alignment vertical="center"/>
    </x:xf>
    <x:xf numFmtId="0" fontId="10" fillId="2" borderId="0" xfId="0" applyFont="1" applyFill="1" applyAlignment="1">
      <x:alignment vertical="center" wrapText="1"/>
    </x:xf>
    <x:xf numFmtId="0" fontId="10" fillId="2" borderId="0" xfId="0" applyFont="1" applyFill="1" applyAlignment="1">
      <x:alignment vertical="center"/>
    </x:xf>
    <x:xf numFmtId="164" fontId="10" fillId="2" borderId="0" xfId="0" applyNumberFormat="1" applyFont="1" applyFill="1" applyAlignment="1">
      <x:alignment vertical="center"/>
    </x:xf>
    <x:xf numFmtId="0" fontId="11" fillId="3" borderId="0" xfId="0" applyFont="1" applyFill="1" applyAlignment="1">
      <x:alignment vertical="center" wrapText="1"/>
    </x:xf>
    <x:xf numFmtId="164" fontId="11" fillId="3" borderId="0" xfId="0" applyNumberFormat="1" applyFont="1" applyFill="1" applyAlignment="1">
      <x:alignment vertical="center"/>
    </x:xf>
    <x:xf numFmtId="164" fontId="9" fillId="0" borderId="0" xfId="0" applyNumberFormat="1" applyFont="1" applyAlignment="1">
      <x:alignment vertical="center"/>
    </x:xf>
    <x:xf numFmtId="0" fontId="11" fillId="0" borderId="0" xfId="0" applyFont="1"/>
    <x:xf numFmtId="164" fontId="7" fillId="0" borderId="0" xfId="0" applyNumberFormat="1" applyFont="1"/>
    <x:xf numFmtId="0" fontId="7" fillId="0" borderId="0" xfId="0" applyFont="1" applyAlignment="1">
      <x:alignment wrapText="1"/>
    </x:xf>
    <x:xf numFmtId="2" fontId="7" fillId="0" borderId="0" xfId="0" applyNumberFormat="1" applyFont="1"/>
    <x:xf numFmtId="0" fontId="10" fillId="2" borderId="0" xfId="0" applyFont="1" applyFill="1" applyAlignment="1">
      <x:alignment wrapText="1"/>
    </x:xf>
    <x:xf numFmtId="0" fontId="10" fillId="2" borderId="0" xfId="0" applyFont="1" applyFill="1"/>
    <x:xf numFmtId="0" fontId="11" fillId="3" borderId="0" xfId="0" applyFont="1" applyFill="1" applyAlignment="1">
      <x:alignment wrapText="1"/>
    </x:xf>
    <x:xf numFmtId="164" fontId="11" fillId="3" borderId="0" xfId="0" applyNumberFormat="1" applyFont="1" applyFill="1"/>
    <x:xf numFmtId="0" fontId="1" fillId="0" borderId="0" xfId="0" applyFont="1" applyAlignment="1">
      <x:alignment vertical="center" wrapText="1"/>
    </x:xf>
    <x:xf numFmtId="0" fontId="3" fillId="2" borderId="0" xfId="0" applyFont="1" applyFill="1" applyAlignment="1">
      <x:alignment vertical="center" wrapText="1"/>
    </x:xf>
    <x:xf numFmtId="165" fontId="13" fillId="0" borderId="0" xfId="0" applyNumberFormat="1" applyFont="1" applyAlignment="1">
      <x:alignment vertical="center" wrapText="1"/>
    </x:xf>
    <x:xf numFmtId="164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vertical="center" wrapText="1"/>
    </x:xf>
    <x:xf numFmtId="164" fontId="13" fillId="4" borderId="0" xfId="0" applyNumberFormat="1" applyFont="1" applyFill="1" applyAlignment="1">
      <x:alignment vertical="center" wrapText="1"/>
    </x:xf>
    <x:xf numFmtId="165" fontId="13" fillId="4" borderId="0" xfId="0" applyNumberFormat="1" applyFont="1" applyFill="1" applyAlignment="1">
      <x:alignment vertical="center" wrapText="1"/>
    </x:xf>
    <x:xf numFmtId="3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wrapText="1"/>
    </x:xf>
    <x:xf numFmtId="0" fontId="9" fillId="5" borderId="0" xfId="0" applyFont="1" applyFill="1" applyAlignment="1">
      <x:alignment vertical="center" wrapText="1"/>
    </x:xf>
    <x:xf numFmtId="0" fontId="11" fillId="5" borderId="0" xfId="0" applyFont="1" applyFill="1" applyAlignment="1">
      <x:alignment vertical="center" wrapText="1"/>
    </x:xf>
    <x:xf numFmtId="0" fontId="15" fillId="0" borderId="0" xfId="0" applyFont="1"/>
    <x:xf numFmtId="0" fontId="14" fillId="0" borderId="0" xfId="0" applyFont="1"/>
    <x:xf numFmtId="3" fontId="14" fillId="0" borderId="0" xfId="0" applyNumberFormat="1" applyFont="1"/>
    <x:xf numFmtId="3" fontId="15" fillId="0" borderId="0" xfId="0" applyNumberFormat="1" applyFont="1"/>
    <x:xf numFmtId="0" fontId="1" fillId="5" borderId="0" xfId="0" applyFont="1" applyFill="1" applyAlignment="1">
      <x:alignment vertical="center" wrapText="1"/>
    </x:xf>
    <x:xf numFmtId="0" fontId="13" fillId="5" borderId="0" xfId="0" applyFont="1" applyFill="1" applyAlignment="1">
      <x:alignment vertical="center" wrapText="1"/>
    </x:xf>
    <x:xf numFmtId="164" fontId="1" fillId="6" borderId="0" xfId="0" applyNumberFormat="1" applyFont="1" applyFill="1"/>
    <x:xf numFmtId="164" fontId="5" fillId="6" borderId="0" xfId="0" applyNumberFormat="1" applyFont="1" applyFill="1"/>
    <x:xf numFmtId="0" fontId="12" fillId="0" borderId="0" xfId="0" applyFont="1" applyAlignment="1">
      <x:alignment wrapText="1"/>
    </x:xf>
    <x:xf numFmtId="0" fontId="0" fillId="0" borderId="0" xfId="0"/>
    <x:xf numFmtId="0" fontId="9" fillId="0" borderId="0" xfId="0" applyFont="1"/>
    <x:xf numFmtId="0" fontId="12" fillId="5" borderId="0" xfId="0" applyFont="1" applyFill="1" applyAlignment="1">
      <x:alignment wrapText="1"/>
    </x:xf>
    <x:xf numFmtId="0" fontId="8" fillId="0" borderId="0" xfId="0" applyFont="1"/>
    <x:xf numFmtId="0" fontId="7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8" fillId="0" borderId="0" xfId="0" applyNumberFormat="1" applyFont="1" applyFill="1" applyBorder="1"/>
    <x:xf numFmtId="0" fontId="19" fillId="0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3" fontId="19" fillId="0" borderId="0" xfId="0" applyNumberFormat="1" applyFont="1" applyFill="1" applyBorder="1"/>
    <x:xf numFmtId="3" fontId="18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b2b8d56d94e5d" /><Relationship Type="http://schemas.openxmlformats.org/officeDocument/2006/relationships/theme" Target="/xl/theme/theme1.xml" Id="R4d39a1800b004d8c" /><Relationship Type="http://schemas.openxmlformats.org/officeDocument/2006/relationships/sharedStrings" Target="/xl/sharedStrings.xml" Id="Rd650472a6197427f" /><Relationship Type="http://schemas.openxmlformats.org/officeDocument/2006/relationships/worksheet" Target="/xl/worksheets/sheet1.xml" Id="Re4c710c0e64e43ec" /><Relationship Type="http://schemas.openxmlformats.org/officeDocument/2006/relationships/worksheet" Target="/xl/worksheets/sheet2.xml" Id="Rd6188ccc88894565" /><Relationship Type="http://schemas.openxmlformats.org/officeDocument/2006/relationships/worksheet" Target="/xl/worksheets/sheet3.xml" Id="R3370a849ff5e418f" /><Relationship Type="http://schemas.openxmlformats.org/officeDocument/2006/relationships/worksheet" Target="/xl/worksheets/sheet4.xml" Id="R1b1e3515ace54d0b" /><Relationship Type="http://schemas.openxmlformats.org/officeDocument/2006/relationships/worksheet" Target="/xl/worksheets/sheet5.xml" Id="Rd0f87e70b4824bf7" /><Relationship Type="http://schemas.microsoft.com/office/2017/10/relationships/person" Target="/xl/persons/person.xml" Id="R62687b40fa3846fe" /></Relationships>
</file>

<file path=xl/persons/person.xml><?xml version="1.0" encoding="utf-8"?>
<xltc:personList xmlns:xltc="http://schemas.microsoft.com/office/spreadsheetml/2018/threadedcomments">
  <xltc:person displayName="Claude" id="{8326AB16-7E68-811A-D980-962675B34B0E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ee274b3a1d66448a" /><Relationship Type="http://schemas.openxmlformats.org/officeDocument/2006/relationships/vmlDrawing" Target="/xl/drawings/vmldrawing.vml" Id="R7bd47fc535af41a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2" customWidth="1"/>
  </x:cols>
  <x:sheetData>
    <x:row r="2" ht="25.950000762939453" customHeight="1">
      <x:c r="A2" s="56" t="s">
        <x:v>0</x:v>
      </x:c>
      <x:c r="B2" s="53"/>
      <x:c r="C2" s="53"/>
    </x:row>
    <x:row r="3" ht="25.950000762939453" customHeight="1">
      <x:c r="A3" s="54" t="s">
        <x:v>1</x:v>
      </x:c>
      <x:c r="B3" s="53"/>
      <x:c r="C3" s="53"/>
    </x:row>
    <x:row r="4">
      <x:c r="A4" s="15"/>
      <x:c r="B4" s="15"/>
      <x:c r="C4" s="15"/>
    </x:row>
    <x:row r="5" ht="28.049999237060547" customHeight="1">
      <x:c r="A5" s="19" t="s">
        <x:v>2</x:v>
      </x:c>
      <x:c r="B5" s="20" t="s">
        <x:v>3</x:v>
      </x:c>
      <x:c r="C5" s="20" t="s">
        <x:v>4</x:v>
      </x:c>
    </x:row>
    <x:row r="6" ht="28.049999237060547" customHeight="1">
      <x:c r="A6" s="69" t="str">
        <x:v>Assets in the management forecast</x:v>
      </x:c>
      <x:c r="B6" s="70"/>
      <x:c r="C6" s="70"/>
    </x:row>
    <x:row r="7" ht="28.049999237060547" customHeight="1">
      <x:c r="A7" s="16" t="s">
        <x:v>5</x:v>
      </x:c>
      <x:c r="B7" s="17" t="n">
        <x:f>'Base Monthly'!Q16</x:f>
        <x:v>72000</x:v>
      </x:c>
      <x:c r="C7" s="17" t="n">
        <x:f>'Base Monthly'!AC16</x:f>
        <x:v>54000</x:v>
      </x:c>
    </x:row>
    <x:row r="8" ht="28.049999237060547" customHeight="1">
      <x:c r="A8" s="16" t="s">
        <x:v>6</x:v>
      </x:c>
      <x:c r="B8" s="17" t="n">
        <x:f>'Base Monthly'!Q17</x:f>
        <x:v>55200</x:v>
      </x:c>
      <x:c r="C8" s="17" t="n">
        <x:f>'Base Monthly'!AC17</x:f>
        <x:v>41400</x:v>
      </x:c>
    </x:row>
    <x:row r="9" ht="28.049999237060547" customHeight="1">
      <x:c r="A9" s="16" t="s">
        <x:v>7</x:v>
      </x:c>
      <x:c r="B9" s="17" t="n">
        <x:f>'Base Monthly'!Q42</x:f>
        <x:v>245916</x:v>
      </x:c>
      <x:c r="C9" s="17" t="n">
        <x:f>'Base Monthly'!AC42</x:f>
        <x:v>419175</x:v>
      </x:c>
    </x:row>
    <x:row r="10" ht="44" customHeight="1">
      <x:c r="A10" s="57" t="str">
        <x:v>Founder resources (memo value $460,000; excluded from totals)</x:v>
      </x:c>
      <x:c r="B10" s="24" t="n">
        <x:f>'Base Monthly'!Q52</x:f>
        <x:v>0</x:v>
      </x:c>
      <x:c r="C10" s="24" t="n">
        <x:f>'Base Monthly'!AC52</x:f>
        <x:v>0</x:v>
      </x:c>
    </x:row>
    <x:row r="11" ht="28.049999237060547" customHeight="1">
      <x:c r="A11" s="63" t="str">
        <x:v>Total non-current assets</x:v>
      </x:c>
      <x:c r="B11" s="23" t="n">
        <x:f>SUM(B7:B10)</x:f>
        <x:v>373116</x:v>
      </x:c>
      <x:c r="C11" s="23" t="n">
        <x:f>SUM(C7:C10)</x:f>
        <x:v>514575</x:v>
      </x:c>
    </x:row>
    <x:row r="12" ht="28.049999237060547" customHeight="1">
      <x:c r="A12" s="16"/>
      <x:c r="B12" s="17"/>
      <x:c r="C12" s="17"/>
    </x:row>
    <x:row r="13" ht="28.049999237060547" customHeight="1">
      <x:c r="A13" s="22" t="s">
        <x:v>8</x:v>
      </x:c>
      <x:c r="B13" s="23" t="n">
        <x:f>'Base Monthly'!Q33</x:f>
        <x:v>514233.33333333326</x:v>
      </x:c>
      <x:c r="C13" s="23" t="n">
        <x:f>'Base Monthly'!AC33</x:f>
        <x:v>1792022.8384524616</x:v>
      </x:c>
    </x:row>
    <x:row r="14" ht="28.049999237060547" customHeight="1">
      <x:c r="A14" s="63" t="str">
        <x:v>Total assets</x:v>
      </x:c>
      <x:c r="B14" s="23" t="n">
        <x:f>'Base Monthly'!Q34</x:f>
        <x:v>887349.3333333333</x:v>
      </x:c>
      <x:c r="C14" s="23" t="n">
        <x:f>'Base Monthly'!AC34</x:f>
        <x:v>2306597.8384524616</x:v>
      </x:c>
    </x:row>
    <x:row r="15" ht="28.049999237060547" customHeight="1">
      <x:c r="A15" s="16"/>
      <x:c r="B15" s="17"/>
      <x:c r="C15" s="17"/>
    </x:row>
    <x:row r="16" ht="28.049999237060547" customHeight="1">
      <x:c r="A16" s="19" t="s">
        <x:v>9</x:v>
      </x:c>
      <x:c r="B16" s="21"/>
      <x:c r="C16" s="21"/>
    </x:row>
    <x:row r="17" ht="28.049999237060547" customHeight="1">
      <x:c r="A17" s="16" t="s">
        <x:v>10</x:v>
      </x:c>
      <x:c r="B17" s="17" t="n">
        <x:f>'Base Monthly'!Q23</x:f>
        <x:v>460000</x:v>
      </x:c>
      <x:c r="C17" s="17" t="n">
        <x:f>'Base Monthly'!AC23</x:f>
        <x:v>460000</x:v>
      </x:c>
    </x:row>
    <x:row r="18" ht="28.049999237060547" customHeight="1">
      <x:c r="A18" s="16" t="s">
        <x:v>11</x:v>
      </x:c>
      <x:c r="B18" s="17" t="n">
        <x:f>'Base Monthly'!Q25</x:f>
        <x:v>29271.51488087133</x:v>
      </x:c>
      <x:c r="C18" s="17" t="n">
        <x:f>'Base Monthly'!AC25</x:f>
        <x:v>121176.87668087134</x:v>
      </x:c>
    </x:row>
    <x:row r="19" ht="28.049999237060547" customHeight="1">
      <x:c r="A19" s="22" t="s">
        <x:v>12</x:v>
      </x:c>
      <x:c r="B19" s="23" t="n">
        <x:f>SUM(B17:B18)</x:f>
        <x:v>489271.51488087134</x:v>
      </x:c>
      <x:c r="C19" s="23" t="n">
        <x:f>SUM(C17:C18)</x:f>
        <x:v>581176.8766808714</x:v>
      </x:c>
    </x:row>
    <x:row r="20" ht="28.049999237060547" customHeight="1">
      <x:c r="A20" s="16"/>
      <x:c r="B20" s="17"/>
      <x:c r="C20" s="17"/>
    </x:row>
    <x:row r="21" ht="28.049999237060547" customHeight="1">
      <x:c r="A21" s="57" t="str">
        <x:v>Founder resources recognised in this forecast</x:v>
      </x:c>
      <x:c r="B21" s="24" t="n">
        <x:f>'Base Monthly'!Q52</x:f>
        <x:v>0</x:v>
      </x:c>
      <x:c r="C21" s="24" t="n">
        <x:f>'Base Monthly'!AC52</x:f>
        <x:v>0</x:v>
      </x:c>
    </x:row>
    <x:row r="22" ht="28.049999237060547" customHeight="1">
      <x:c r="A22" s="16" t="s">
        <x:v>13</x:v>
      </x:c>
      <x:c r="B22" s="17" t="n">
        <x:f>'Base Monthly'!Q27</x:f>
        <x:v>398077.818452462</x:v>
      </x:c>
      <x:c r="C22" s="17" t="n">
        <x:f>'Base Monthly'!AC27</x:f>
        <x:v>1725420.9617715906</x:v>
      </x:c>
    </x:row>
    <x:row r="23" ht="28.049999237060547" customHeight="1">
      <x:c r="A23" s="63" t="str">
        <x:v>Accumulated capital and retained results</x:v>
      </x:c>
      <x:c r="B23" s="23" t="n">
        <x:f>'Base Monthly'!Q36</x:f>
        <x:v>398077.818452462</x:v>
      </x:c>
      <x:c r="C23" s="23" t="n">
        <x:f>'Base Monthly'!AC36</x:f>
        <x:v>1725420.9617715906</x:v>
      </x:c>
    </x:row>
    <x:row r="24" ht="28.049999237060547" customHeight="1">
      <x:c r="A24" s="63" t="str">
        <x:v>Total financing, liabilities and accumulated results</x:v>
      </x:c>
      <x:c r="B24" s="23" t="n">
        <x:f>SUM(B19,B23)</x:f>
        <x:v>887349.3333333333</x:v>
      </x:c>
      <x:c r="C24" s="23" t="n">
        <x:f>SUM(C19,C23)</x:f>
        <x:v>2306597.838452462</x:v>
      </x:c>
    </x:row>
    <x:row r="25" ht="28.049999237060547" customHeight="1">
      <x:c r="A25" s="16" t="s">
        <x:v>14</x:v>
      </x:c>
      <x:c r="B25" s="18" t="n">
        <x:f>B14-B24</x:f>
        <x:v>0</x:v>
      </x:c>
      <x:c r="C25" s="18" t="n">
        <x:f>C14-C24</x:f>
        <x:v>-4.656612873077393e-10</x:v>
      </x:c>
    </x:row>
    <x:row r="26" ht="28.049999237060547" customHeight="1">
      <x:c r="A26" s="16"/>
      <x:c r="B26" s="17"/>
      <x:c r="C26" s="17"/>
    </x:row>
    <x:row r="27" ht="28.049999237060547" customHeight="1">
      <x:c r="A27" s="19" t="s">
        <x:v>15</x:v>
      </x:c>
      <x:c r="B27" s="21"/>
      <x:c r="C27" s="21"/>
    </x:row>
    <x:row r="28" ht="28.049999237060547" customHeight="1">
      <x:c r="A28" s="16" t="s">
        <x:v>16</x:v>
      </x:c>
      <x:c r="B28" s="17" t="n">
        <x:f>SUM('Base Monthly'!D6:Q6)</x:f>
        <x:v>997200</x:v>
      </x:c>
      <x:c r="C28" s="17" t="n">
        <x:f>SUM('Base Monthly'!R6:AC6)</x:f>
        <x:v>2043061.0199999996</x:v>
      </x:c>
    </x:row>
    <x:row r="29" ht="28.049999237060547" customHeight="1">
      <x:c r="A29" s="58" t="str">
        <x:v>Profit after tax</x:v>
      </x:c>
      <x:c r="B29" s="23" t="n">
        <x:f>SUM('Base Monthly'!D20:Q20)</x:f>
        <x:v>398077.818452462</x:v>
      </x:c>
      <x:c r="C29" s="23" t="n">
        <x:f>SUM('Base Monthly'!R20:AC20)</x:f>
        <x:v>1327343.1433191288</x:v>
      </x:c>
    </x:row>
    <x:row r="30" ht="28.049999237060547" customHeight="1">
      <x:c r="A30" s="22" t="s">
        <x:v>17</x:v>
      </x:c>
      <x:c r="B30" s="23" t="n">
        <x:f>SUM('Base Monthly'!D48:Q48)</x:f>
        <x:v>54233.333333333314</x:v>
      </x:c>
      <x:c r="C30" s="23" t="n">
        <x:f>SUM('Base Monthly'!R48:AC48)</x:f>
        <x:v>1277789.5051191286</x:v>
      </x:c>
    </x:row>
    <x:row r="31" ht="28.049999237060547" customHeight="1">
      <x:c r="A31" s="16" t="s">
        <x:v>18</x:v>
      </x:c>
      <x:c r="B31" s="17" t="n">
        <x:f>MIN('Base Monthly'!D33:Q33)</x:f>
        <x:v>51300</x:v>
      </x:c>
      <x:c r="C31" s="17" t="n">
        <x:f>MIN('Base Monthly'!R33:AC33)</x:f>
        <x:v>599639.9999999999</x:v>
      </x:c>
    </x:row>
    <x:row r="32" ht="28.049999237060547" customHeight="1">
      <x:c r="A32" s="16" t="s">
        <x:v>19</x:v>
      </x:c>
      <x:c r="B32" s="17" t="n">
        <x:f>Inputs!$B$25</x:f>
        <x:v>460000</x:v>
      </x:c>
      <x:c r="C32" s="17" t="n">
        <x:f>Inputs!$B$25</x:f>
        <x:v>460000</x:v>
      </x:c>
    </x:row>
    <x:row r="33" ht="28.049999237060547" customHeight="1">
      <x:c r="A33" s="16" t="s">
        <x:v>20</x:v>
      </x:c>
      <x:c r="B33" s="17" t="n">
        <x:f>0</x:f>
        <x:v>0</x:v>
      </x:c>
      <x:c r="C33" s="17" t="n">
        <x:f>0</x:f>
        <x:v>0</x:v>
      </x:c>
    </x:row>
    <x:row r="34" ht="28.049999237060547" customHeight="1">
      <x:c r="A34" s="16" t="s">
        <x:v>21</x:v>
      </x:c>
      <x:c r="B34" s="17" t="n">
        <x:f>-SUM('Base Monthly'!D26:Q26)</x:f>
        <x:v>0</x:v>
      </x:c>
      <x:c r="C34" s="17" t="n">
        <x:f>-SUM('Base Monthly'!R26:AC26)</x:f>
        <x:v>0</x:v>
      </x:c>
    </x:row>
    <x:row r="35" ht="28.049999237060547" customHeight="1">
      <x:c r="A35" s="15" t="s">
        <x:v>22</x:v>
      </x:c>
      <x:c r="B35" s="26" t="n">
        <x:f>SUM('Base Monthly'!D28:Q28)</x:f>
        <x:v>464738.33333333326</x:v>
      </x:c>
      <x:c r="C35" s="26" t="n">
        <x:f>SUM('Base Monthly'!R28:AC28)</x:f>
        <x:v>1501349.5051191286</x:v>
      </x:c>
    </x:row>
    <x:row r="36">
      <x:c r="A36" s="25" t="s">
        <x:v>23</x:v>
      </x:c>
      <x:c r="B36" s="15"/>
      <x:c r="C36" s="15"/>
    </x:row>
    <x:row r="37" ht="54" customHeight="1">
      <x:c r="A37" s="64" t="str">
        <x:v>FY1: November 2026-December 2027 (14 months). FY2: January-December 2028. Receipts are assumed in the month of sale.</x:v>
      </x:c>
      <x:c r="B37" s="53"/>
      <x:c r="C37" s="53"/>
    </x:row>
    <x:row r="38" ht="54" customHeight="1">
      <x:c r="A38" s="59" t="str">
        <x:v>Founder-provided resources have a management memo value of about $460,000. This forecast assumes no cash purchase or transfer of title and excludes that memo value from assets and equity.</x:v>
      </x:c>
      <x:c r="B38" s="53"/>
      <x:c r="C38" s="53"/>
    </x:row>
    <x:row r="39" ht="54" customHeight="1">
      <x:c r="A39" s="59" t="str">
        <x:v>Statutory recognition depends on the executed agreements. Software capitalisation and amortisation follow the stated planning assumptions, with eligibility and available-for-use dates supported by project records.</x:v>
      </x:c>
      <x:c r="B39" s="53"/>
      <x:c r="C39" s="53"/>
    </x:row>
    <x:row r="40" ht="46.04999923706055" customHeight="1">
      <x:c r="A40" s="52" t="s">
        <x:v>24</x:v>
      </x:c>
      <x:c r="B40" s="53"/>
      <x:c r="C40" s="53"/>
    </x:row>
    <x:row r="41" ht="46.04999923706055" customHeight="1">
      <x:c r="A41" s="52" t="s">
        <x:v>25</x:v>
      </x:c>
      <x:c r="B41" s="53"/>
      <x:c r="C41" s="53"/>
    </x:row>
  </x:sheetData>
  <x:mergeCells>
    <x:mergeCell ref="A2:C2"/>
    <x:mergeCell ref="A41:C41"/>
    <x:mergeCell ref="A37:C37"/>
    <x:mergeCell ref="A40:C40"/>
    <x:mergeCell ref="A3:C3"/>
    <x:mergeCell ref="A39:C39"/>
    <x:mergeCell ref="A38:C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A651"/>
  </x:sheetPr>
  <x:sheetFormatPr defaultRowHeight="13.800000190734863"/>
  <x:cols>
    <x:col min="1" max="1" width="95" customWidth="1"/>
    <x:col min="2" max="2" width="14" customWidth="1"/>
  </x:cols>
  <x:sheetData>
    <x:row r="1">
      <x:c r="A1" s="67" t="str">
        <x:v>Oristella revenue basis (USD)</x:v>
      </x:c>
      <x:c r="B1" s="67"/>
    </x:row>
    <x:row r="2">
      <x:c r="A2" s="68"/>
      <x:c r="B2" s="68"/>
    </x:row>
    <x:row r="3">
      <x:c r="A3" s="67" t="str">
        <x:v>Planned client schedule</x:v>
      </x:c>
      <x:c r="B3" s="67"/>
    </x:row>
    <x:row r="4" ht="42" customHeight="1">
      <x:c r="A4" s="73" t="str">
        <x:v>January 2027: two related-company clients (Farafina Resources SA, Lions Head Resources SA); forecast receipts on standard terms.</x:v>
      </x:c>
      <x:c r="B4" s="73"/>
    </x:row>
    <x:row r="5" ht="42" customHeight="1">
      <x:c r="A5" s="73" t="str">
        <x:v>April 2027: two external clients targeted after on-site equipment testing.</x:v>
      </x:c>
      <x:c r="B5" s="73"/>
    </x:row>
    <x:row r="6" ht="42" customHeight="1">
      <x:c r="A6" s="73" t="str">
        <x:v>May-December 2027: target one new client a month, reaching twelve clients at December 2027.</x:v>
      </x:c>
      <x:c r="B6" s="73"/>
    </x:row>
    <x:row r="7" ht="42" customHeight="1">
      <x:c r="A7" s="73" t="s">
        <x:v>26</x:v>
      </x:c>
      <x:c r="B7" s="73"/>
    </x:row>
    <x:row r="8">
      <x:c r="A8" s="68"/>
      <x:c r="B8" s="68"/>
    </x:row>
    <x:row r="9">
      <x:c r="A9" s="67" t="s">
        <x:v>27</x:v>
      </x:c>
      <x:c r="B9" s="67" t="s">
        <x:v>28</x:v>
      </x:c>
    </x:row>
    <x:row r="10">
      <x:c r="A10" s="68" t="s">
        <x:v>29</x:v>
      </x:c>
      <x:c r="B10" s="71">
        <x:v>180000</x:v>
      </x:c>
    </x:row>
    <x:row r="11">
      <x:c r="A11" s="68" t="s">
        <x:v>30</x:v>
      </x:c>
      <x:c r="B11" s="71">
        <x:v>261000</x:v>
      </x:c>
    </x:row>
    <x:row r="12">
      <x:c r="A12" s="68" t="s">
        <x:v>31</x:v>
      </x:c>
      <x:c r="B12" s="71">
        <x:v>78000</x:v>
      </x:c>
    </x:row>
    <x:row r="13">
      <x:c r="A13" s="68" t="s">
        <x:v>32</x:v>
      </x:c>
      <x:c r="B13" s="71">
        <x:v>52400</x:v>
      </x:c>
    </x:row>
    <x:row r="14">
      <x:c r="A14" s="68" t="s">
        <x:v>33</x:v>
      </x:c>
      <x:c r="B14" s="71">
        <x:v>72000</x:v>
      </x:c>
    </x:row>
    <x:row r="15">
      <x:c r="A15" s="68" t="s">
        <x:v>34</x:v>
      </x:c>
      <x:c r="B15" s="71">
        <x:v>87000</x:v>
      </x:c>
    </x:row>
    <x:row r="16">
      <x:c r="A16" s="67" t="s">
        <x:v>35</x:v>
      </x:c>
      <x:c r="B16" s="72" t="n">
        <x:f>SUM(B10:B15)</x:f>
        <x:v>730400</x:v>
      </x:c>
    </x:row>
    <x:row r="17">
      <x:c r="A17" s="68" t="s">
        <x:v>36</x:v>
      </x:c>
      <x:c r="B17" s="71" t="n">
        <x:f>SUM('Base Monthly'!D6:O6)</x:f>
        <x:v>730400</x:v>
      </x:c>
    </x:row>
    <x:row r="18">
      <x:c r="A18" s="68" t="s">
        <x:v>37</x:v>
      </x:c>
      <x:c r="B18" s="71" t="n">
        <x:f>B16-B17</x:f>
        <x:v>0</x:v>
      </x:c>
    </x:row>
    <x:row r="19">
      <x:c r="A19" s="68"/>
      <x:c r="B19" s="68"/>
    </x:row>
    <x:row r="20" ht="42" customHeight="1">
      <x:c r="A20" s="73" t="str">
        <x:v>Module tariffs: trial geological model $1,000; full model $5,000; standard update $300. Each contract defines scope and module composition.</x:v>
      </x:c>
      <x:c r="B20" s="73"/>
    </x:row>
    <x:row r="21" ht="80" customHeight="1">
      <x:c r="A21" s="73" t="str">
        <x:v>Source: management service-stream and monthly receipts forecast. The stream total reconciles to monthly receipts; the client schedule is a commercial target, not a quantity-times-tariff calculation.</x:v>
      </x:c>
      <x:c r="B21" s="73"/>
    </x:row>
  </x:sheetData>
  <x:mergeCells>
    <x:mergeCell ref="A4:B4"/>
    <x:mergeCell ref="A5:B5"/>
    <x:mergeCell ref="A6:B6"/>
    <x:mergeCell ref="A7:B7"/>
    <x:mergeCell ref="A20:B20"/>
    <x:mergeCell ref="A21:B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3" customWidth="1"/>
  </x:cols>
  <x:sheetData>
    <x:row r="2" ht="28.049999237060547" customHeight="1">
      <x:c r="A2" s="56" t="s">
        <x:v>38</x:v>
      </x:c>
      <x:c r="B2" s="53"/>
      <x:c r="C2" s="53"/>
    </x:row>
    <x:row r="3" ht="28.049999237060547" customHeight="1">
      <x:c r="A3" s="66" t="str">
        <x:v>Base case receipts and costs; $460,000 investor financing.</x:v>
      </x:c>
      <x:c r="B3" s="53"/>
      <x:c r="C3" s="53"/>
    </x:row>
    <x:row r="4">
      <x:c r="A4" s="15"/>
      <x:c r="B4" s="15"/>
      <x:c r="C4" s="15"/>
    </x:row>
    <x:row r="5" ht="27" customHeight="1">
      <x:c r="A5" s="29" t="s">
        <x:v>39</x:v>
      </x:c>
      <x:c r="B5" s="30" t="s">
        <x:v>40</x:v>
      </x:c>
      <x:c r="C5" s="30" t="s">
        <x:v>41</x:v>
      </x:c>
    </x:row>
    <x:row r="6" ht="27" customHeight="1">
      <x:c r="A6" s="27" t="s">
        <x:v>42</x:v>
      </x:c>
      <x:c r="B6" s="26" t="n">
        <x:f>'Base Monthly'!D32</x:f>
        <x:v>0</x:v>
      </x:c>
      <x:c r="C6" s="26" t="n">
        <x:f>'Base Monthly'!R32</x:f>
        <x:v>514233.33333333326</x:v>
      </x:c>
    </x:row>
    <x:row r="7" ht="27" customHeight="1">
      <x:c r="A7" s="27"/>
      <x:c r="B7" s="26"/>
      <x:c r="C7" s="26"/>
    </x:row>
    <x:row r="8" ht="27" customHeight="1">
      <x:c r="A8" s="27" t="s">
        <x:v>43</x:v>
      </x:c>
      <x:c r="B8" s="26" t="n">
        <x:f>SUM('Base Monthly'!D6:Q6)</x:f>
        <x:v>997200</x:v>
      </x:c>
      <x:c r="C8" s="26" t="n">
        <x:f>SUM('Base Monthly'!R6:AC6)</x:f>
        <x:v>2043061.0199999996</x:v>
      </x:c>
    </x:row>
    <x:row r="9" ht="27" customHeight="1">
      <x:c r="A9" s="27" t="s">
        <x:v>44</x:v>
      </x:c>
      <x:c r="B9" s="26" t="n">
        <x:f>SUM('Base Monthly'!D7:Q7)</x:f>
        <x:v>-783966.6666666667</x:v>
      </x:c>
      <x:c r="C9" s="26" t="n">
        <x:f>SUM('Base Monthly'!R7:AC7)</x:f>
        <x:v>-736000.0000000001</x:v>
      </x:c>
    </x:row>
    <x:row r="10" ht="27" customHeight="1">
      <x:c r="A10" s="27" t="s">
        <x:v>45</x:v>
      </x:c>
      <x:c r="B10" s="26" t="n">
        <x:f>SUM('Base Monthly'!D38:Q38)</x:f>
        <x:v>251505</x:v>
      </x:c>
      <x:c r="C10" s="26" t="n">
        <x:f>SUM('Base Monthly'!R38:AC38)</x:f>
        <x:v>223560</x:v>
      </x:c>
    </x:row>
    <x:row r="11" ht="27" customHeight="1">
      <x:c r="A11" s="27" t="s">
        <x:v>46</x:v>
      </x:c>
      <x:c r="B11" s="26" t="n">
        <x:f>SUM('Base Monthly'!D24:Q24)</x:f>
        <x:v>0</x:v>
      </x:c>
      <x:c r="C11" s="26" t="n">
        <x:f>SUM('Base Monthly'!R24:AC24)</x:f>
        <x:v>-29271.51488087133</x:v>
      </x:c>
    </x:row>
    <x:row r="12" ht="27" customHeight="1">
      <x:c r="A12" s="31" t="s">
        <x:v>22</x:v>
      </x:c>
      <x:c r="B12" s="32" t="n">
        <x:f>SUM(B8:B11)</x:f>
        <x:v>464738.33333333326</x:v>
      </x:c>
      <x:c r="C12" s="32" t="n">
        <x:f>SUM(C8:C11)</x:f>
        <x:v>1501349.5051191282</x:v>
      </x:c>
    </x:row>
    <x:row r="13" ht="27" customHeight="1">
      <x:c r="A13" s="27"/>
      <x:c r="B13" s="26"/>
      <x:c r="C13" s="26"/>
    </x:row>
    <x:row r="14" ht="27" customHeight="1">
      <x:c r="A14" s="27" t="s">
        <x:v>47</x:v>
      </x:c>
      <x:c r="B14" s="26" t="n">
        <x:f>-SUM('Base Monthly'!D8:Q8)</x:f>
        <x:v>-90000</x:v>
      </x:c>
      <x:c r="C14" s="26" t="n">
        <x:f>-SUM('Base Monthly'!R8:AC8)</x:f>
        <x:v>0</x:v>
      </x:c>
    </x:row>
    <x:row r="15" ht="27" customHeight="1">
      <x:c r="A15" s="27" t="s">
        <x:v>6</x:v>
      </x:c>
      <x:c r="B15" s="26" t="n">
        <x:f>-SUM('Base Monthly'!D9:Q9)</x:f>
        <x:v>-69000</x:v>
      </x:c>
      <x:c r="C15" s="26" t="n">
        <x:f>-SUM('Base Monthly'!R9:AC9)</x:f>
        <x:v>0</x:v>
      </x:c>
    </x:row>
    <x:row r="16" ht="27" customHeight="1">
      <x:c r="A16" s="27" t="s">
        <x:v>48</x:v>
      </x:c>
      <x:c r="B16" s="26" t="n">
        <x:f>-B10</x:f>
        <x:v>-251505</x:v>
      </x:c>
      <x:c r="C16" s="26" t="n">
        <x:f>-C10</x:f>
        <x:v>-223560</x:v>
      </x:c>
    </x:row>
    <x:row r="17" ht="27" customHeight="1">
      <x:c r="A17" s="31" t="s">
        <x:v>49</x:v>
      </x:c>
      <x:c r="B17" s="32" t="n">
        <x:f>SUM(B14:B16)</x:f>
        <x:v>-410505</x:v>
      </x:c>
      <x:c r="C17" s="32" t="n">
        <x:f>SUM(C14:C16)</x:f>
        <x:v>-223560</x:v>
      </x:c>
    </x:row>
    <x:row r="18" ht="27" customHeight="1">
      <x:c r="A18" s="27"/>
      <x:c r="B18" s="26"/>
      <x:c r="C18" s="26"/>
    </x:row>
    <x:row r="19" ht="27" customHeight="1">
      <x:c r="A19" s="27" t="s">
        <x:v>50</x:v>
      </x:c>
      <x:c r="B19" s="26" t="n">
        <x:f>SUM('Base Monthly'!D21:Q21)</x:f>
        <x:v>460000</x:v>
      </x:c>
      <x:c r="C19" s="26" t="n">
        <x:f>SUM('Base Monthly'!R21:AC21)</x:f>
        <x:v>0</x:v>
      </x:c>
    </x:row>
    <x:row r="20" ht="27" customHeight="1">
      <x:c r="A20" s="27" t="s">
        <x:v>51</x:v>
      </x:c>
      <x:c r="B20" s="26" t="n">
        <x:f>SUM('Base Monthly'!D43:Q43)</x:f>
        <x:v>0</x:v>
      </x:c>
      <x:c r="C20" s="26" t="n">
        <x:f>SUM('Base Monthly'!R43:AC43)</x:f>
        <x:v>0</x:v>
      </x:c>
    </x:row>
    <x:row r="21" ht="27" customHeight="1">
      <x:c r="A21" s="27" t="s">
        <x:v>52</x:v>
      </x:c>
      <x:c r="B21" s="26" t="n">
        <x:f>SUM('Base Monthly'!D22:Q22,'Base Monthly'!D26:Q26)</x:f>
        <x:v>0</x:v>
      </x:c>
      <x:c r="C21" s="26" t="n">
        <x:f>SUM('Base Monthly'!R22:AC22,'Base Monthly'!R26:AC26)</x:f>
        <x:v>0</x:v>
      </x:c>
    </x:row>
    <x:row r="22" ht="27" customHeight="1">
      <x:c r="A22" s="31" t="s">
        <x:v>53</x:v>
      </x:c>
      <x:c r="B22" s="32" t="n">
        <x:f>SUM(B19:B21)</x:f>
        <x:v>460000</x:v>
      </x:c>
      <x:c r="C22" s="32" t="n">
        <x:f>SUM(C19:C21)</x:f>
        <x:v>0</x:v>
      </x:c>
    </x:row>
    <x:row r="23" ht="27" customHeight="1">
      <x:c r="A23" s="27"/>
      <x:c r="B23" s="26"/>
      <x:c r="C23" s="26"/>
    </x:row>
    <x:row r="24" ht="27" customHeight="1">
      <x:c r="A24" s="31" t="s">
        <x:v>54</x:v>
      </x:c>
      <x:c r="B24" s="32" t="n">
        <x:f>SUM(B12,B17,B22)</x:f>
        <x:v>514233.33333333326</x:v>
      </x:c>
      <x:c r="C24" s="32" t="n">
        <x:f>SUM(C12,C17,C22)</x:f>
        <x:v>1277789.5051191282</x:v>
      </x:c>
    </x:row>
    <x:row r="25" ht="27" customHeight="1">
      <x:c r="A25" s="31" t="s">
        <x:v>55</x:v>
      </x:c>
      <x:c r="B25" s="32" t="n">
        <x:f>SUM(B6,B24)</x:f>
        <x:v>514233.33333333326</x:v>
      </x:c>
      <x:c r="C25" s="32" t="n">
        <x:f>SUM(C6,C24)</x:f>
        <x:v>1792022.8384524614</x:v>
      </x:c>
    </x:row>
    <x:row r="26" ht="27" customHeight="1">
      <x:c r="A26" s="27" t="s">
        <x:v>56</x:v>
      </x:c>
      <x:c r="B26" s="28" t="n">
        <x:f>B25-'Base Balance'!B13</x:f>
        <x:v>0</x:v>
      </x:c>
      <x:c r="C26" s="28" t="n">
        <x:f>C25-'Base Balance'!C13</x:f>
        <x:v>-2.3283064365386963e-10</x:v>
      </x:c>
    </x:row>
    <x:row r="27" ht="27" customHeight="1">
      <x:c r="A27" s="27"/>
      <x:c r="B27" s="26"/>
      <x:c r="C27" s="26"/>
    </x:row>
    <x:row r="28" ht="27" customHeight="1">
      <x:c r="A28" s="31" t="s">
        <x:v>17</x:v>
      </x:c>
      <x:c r="B28" s="32" t="n">
        <x:f>SUM(B12,B17)</x:f>
        <x:v>54233.333333333256</x:v>
      </x:c>
      <x:c r="C28" s="32" t="n">
        <x:f>SUM(C12,C17)</x:f>
        <x:v>1277789.5051191282</x:v>
      </x:c>
    </x:row>
    <x:row r="29" ht="27" customHeight="1">
      <x:c r="A29" s="27" t="s">
        <x:v>57</x:v>
      </x:c>
      <x:c r="B29" s="26" t="n">
        <x:f>MIN('Base Monthly'!D33:Q33)</x:f>
        <x:v>51300</x:v>
      </x:c>
      <x:c r="C29" s="26" t="n">
        <x:f>MIN('Base Monthly'!R33:AC33)</x:f>
        <x:v>599639.9999999999</x:v>
      </x:c>
    </x:row>
    <x:row r="30" ht="27" customHeight="1">
      <x:c r="A30" s="27" t="s">
        <x:v>20</x:v>
      </x:c>
      <x:c r="B30" s="26" t="n">
        <x:f>0</x:f>
        <x:v>0</x:v>
      </x:c>
      <x:c r="C30" s="26" t="n">
        <x:f>0</x:f>
        <x:v>0</x:v>
      </x:c>
    </x:row>
    <x:row r="31">
      <x:c r="A31" s="15"/>
      <x:c r="B31" s="15"/>
      <x:c r="C31" s="15"/>
    </x:row>
    <x:row r="32" ht="37.95000076293945" customHeight="1">
      <x:c r="A32" s="52" t="s">
        <x:v>58</x:v>
      </x:c>
      <x:c r="B32" s="53"/>
      <x:c r="C32" s="53"/>
    </x:row>
    <x:row r="33" ht="37.95000076293945" customHeight="1">
      <x:c r="A33" s="59" t="str">
        <x:v>Tax, development capitalisation and payment timing follow the operating model. Profit is separate from cash flow.</x:v>
      </x:c>
      <x:c r="B33" s="53"/>
      <x:c r="C33" s="53"/>
    </x:row>
    <x:row r="34" ht="37.95000076293945" customHeight="1">
      <x:c r="A34" s="52" t="s">
        <x:v>59</x:v>
      </x:c>
      <x:c r="B34" s="53"/>
      <x:c r="C34" s="53"/>
    </x:row>
  </x:sheetData>
  <x:mergeCells>
    <x:mergeCell ref="A33:C33"/>
    <x:mergeCell ref="A32:C32"/>
    <x:mergeCell ref="A3:C3"/>
    <x:mergeCell ref="A34:C34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55" customWidth="1"/>
    <x:col min="2" max="2" width="30" customWidth="1"/>
    <x:col min="3" max="3" width="95" customWidth="1"/>
  </x:cols>
  <x:sheetData>
    <x:row r="1" ht="17.399999618530273">
      <x:c r="A1" s="3" t="s">
        <x:v>60</x:v>
      </x:c>
      <x:c r="B1" s="1"/>
      <x:c r="C1" s="1"/>
    </x:row>
    <x:row r="2">
      <x:c r="A2" s="1"/>
      <x:c r="B2" s="1"/>
      <x:c r="C2" s="1"/>
    </x:row>
    <x:row r="3" ht="43.95000076293945" customHeight="1">
      <x:c r="A3" s="34" t="s">
        <x:v>61</x:v>
      </x:c>
      <x:c r="B3" s="34" t="s">
        <x:v>62</x:v>
      </x:c>
      <x:c r="C3" s="34" t="s">
        <x:v>63</x:v>
      </x:c>
    </x:row>
    <x:row r="4" ht="43.95000076293945" customHeight="1">
      <x:c r="A4" s="33" t="s">
        <x:v>64</x:v>
      </x:c>
      <x:c r="B4" s="35">
        <x:v>0.1</x:v>
      </x:c>
      <x:c r="C4" s="60" t="str">
        <x:v>Managementinstructionassumption: monthly revenue is constant within each quarter. January 2028 is 10% above December 2027; the first month of each subsequent quarter rises a further 10%. Operating expenses remain unchanged.</x:v>
      </x:c>
    </x:row>
    <x:row r="5" ht="43.95000076293945" customHeight="1">
      <x:c r="A5" s="33" t="s">
        <x:v>65</x:v>
      </x:c>
      <x:c r="B5" s="35">
        <x:v>0</x:v>
      </x:c>
      <x:c r="C5" s="33" t="s">
        <x:v>66</x:v>
      </x:c>
    </x:row>
    <x:row r="6" ht="43.95000076293945" customHeight="1">
      <x:c r="A6" s="33" t="s">
        <x:v>67</x:v>
      </x:c>
      <x:c r="B6" s="36" t="n">
        <x:f>-AVERAGE('Base Monthly'!M7:O7)</x:f>
        <x:v>61333.333333333336</x:v>
      </x:c>
      <x:c r="C6" s="60" t="str">
        <x:v>Held constant at the average of months 10-12 (managementinstructionassumption: costs stayheld flat)</x:v>
      </x:c>
    </x:row>
    <x:row r="7" ht="43.95000076293945" customHeight="1">
      <x:c r="A7" s="33" t="s">
        <x:v>68</x:v>
      </x:c>
      <x:c r="B7" s="36" t="n">
        <x:f>'Base Monthly'!O6</x:f>
        <x:v>133400</x:v>
      </x:c>
      <x:c r="C7" s="33" t="s">
        <x:v>69</x:v>
      </x:c>
    </x:row>
    <x:row r="8" ht="43.95000076293945" customHeight="1">
      <x:c r="A8" s="33" t="s">
        <x:v>70</x:v>
      </x:c>
      <x:c r="B8" s="35">
        <x:v>0.09</x:v>
      </x:c>
      <x:c r="C8" s="60" t="str">
        <x:v>Planning rate: 9% on taxable income above AED 375,000; no 0% free-zone rate assumed. Source: UAE Ministry of Finance corporate tax threshold announcement, 31 January 2023.</x:v>
      </x:c>
    </x:row>
    <x:row r="9" ht="43.95000076293945" customHeight="1">
      <x:c r="A9" s="33" t="s">
        <x:v>71</x:v>
      </x:c>
      <x:c r="B9" s="35">
        <x:v>0.2</x:v>
      </x:c>
      <x:c r="C9" s="60" t="str">
        <x:v>Management assumption: 20 % a year from 2027, charged once at year end (31 December); non-cash</x:v>
      </x:c>
    </x:row>
    <x:row r="10" ht="43.95000076293945" customHeight="1">
      <x:c r="A10" s="33" t="s">
        <x:v>72</x:v>
      </x:c>
      <x:c r="B10" s="36">
        <x:v>0</x:v>
      </x:c>
      <x:c r="C10" s="33" t="s">
        <x:v>73</x:v>
      </x:c>
    </x:row>
    <x:row r="11" ht="108" customHeight="1">
      <x:c r="A11" s="33" t="s">
        <x:v>74</x:v>
      </x:c>
      <x:c r="B11" s="35">
        <x:v>0.45</x:v>
      </x:c>
      <x:c r="C11" s="60" t="str">
        <x:v>Management capitalisation assumption: 45% of development-team costs allocated to qualifying software development, at quarter end. The model amortises from the following year. Eligibility and the available-for-use date require project cost records; the percentage alone does not establish IAS 38 compliance.</x:v>
      </x:c>
    </x:row>
    <x:row r="12" ht="43.95000076293945" customHeight="1">
      <x:c r="A12" s="33" t="s">
        <x:v>75</x:v>
      </x:c>
      <x:c r="B12" s="36" t="n">
        <x:f>375000/3.6725</x:f>
        <x:v>102110.27910142955</x:v>
      </x:c>
      <x:c r="C12" s="33" t="s">
        <x:v>76</x:v>
      </x:c>
    </x:row>
    <x:row r="13" ht="64" customHeight="1">
      <x:c r="A13" s="33" t="s">
        <x:v>77</x:v>
      </x:c>
      <x:c r="B13" s="36">
        <x:v>2</x:v>
      </x:c>
      <x:c r="C13" s="61" t="str">
        <x:v>1 = development expensed in FY1; 2 = development capitalised from the start (selected). Capitalisation and tax eligibility are assessed separately.</x:v>
      </x:c>
    </x:row>
    <x:row r="14" ht="43.95000076293945" customHeight="1">
      <x:c r="A14" s="33" t="s">
        <x:v>78</x:v>
      </x:c>
      <x:c r="B14" s="35" t="n">
        <x:f>IF(B13=1,0,B11)</x:f>
        <x:v>0.45</x:v>
      </x:c>
      <x:c r="C14" s="33" t="s">
        <x:v>79</x:v>
      </x:c>
    </x:row>
    <x:row r="15" ht="43.95000076293945" customHeight="1">
      <x:c r="A15" s="33" t="s">
        <x:v>51</x:v>
      </x:c>
      <x:c r="B15" s="36">
        <x:v>0</x:v>
      </x:c>
      <x:c r="C15" s="61" t="str">
        <x:v>No founder cash contribution. Existing resources are available without cash purchase in this forecast.</x:v>
      </x:c>
    </x:row>
    <x:row r="16" ht="43.95000076293945" customHeight="1">
      <x:c r="A16" s="33" t="s">
        <x:v>80</x:v>
      </x:c>
      <x:c r="B16" s="36">
        <x:v>1</x:v>
      </x:c>
      <x:c r="C16" s="33" t="s">
        <x:v>81</x:v>
      </x:c>
    </x:row>
    <x:row r="17" ht="43.95000076293945" customHeight="1">
      <x:c r="A17" s="33" t="s">
        <x:v>82</x:v>
      </x:c>
      <x:c r="B17" s="36">
        <x:v>50000</x:v>
      </x:c>
      <x:c r="C17" s="33" t="s">
        <x:v>83</x:v>
      </x:c>
    </x:row>
    <x:row r="18" ht="43.95000076293945" customHeight="1">
      <x:c r="A18" s="33" t="s">
        <x:v>84</x:v>
      </x:c>
      <x:c r="B18" s="36" t="s">
        <x:v>85</x:v>
      </x:c>
      <x:c r="C18" s="33" t="s">
        <x:v>86</x:v>
      </x:c>
    </x:row>
    <x:row r="19" ht="96" customHeight="1">
      <x:c r="A19" s="60" t="str">
        <x:v>Founder resources made available (memo value)</x:v>
      </x:c>
      <x:c r="B19" s="38">
        <x:v>460000</x:v>
      </x:c>
      <x:c r="C19" s="60" t="str">
        <x:v>Existing land, buildings, infrastructure, equipment, software and prior work, made available without a cash purchase in this forecast. Management memo value: about $460,000. No transfer of title or accounting recognition is assumed.</x:v>
      </x:c>
    </x:row>
    <x:row r="20" ht="43.95000076293945" customHeight="1">
      <x:c r="A20" s="33" t="s">
        <x:v>87</x:v>
      </x:c>
      <x:c r="B20" s="39">
        <x:v>0.2</x:v>
      </x:c>
      <x:c r="C20" s="60" t="str">
        <x:v>Management stress assumption: revenue and matching customer receipts are reduced by 20% in every forecast month.</x:v>
      </x:c>
    </x:row>
    <x:row r="21" ht="43.95000076293945" customHeight="1">
      <x:c r="A21" s="33" t="s">
        <x:v>88</x:v>
      </x:c>
      <x:c r="B21" s="39">
        <x:v>0.1</x:v>
      </x:c>
      <x:c r="C21" s="33" t="s">
        <x:v>89</x:v>
      </x:c>
    </x:row>
    <x:row r="22" ht="43.95000076293945" customHeight="1">
      <x:c r="A22" s="33" t="s">
        <x:v>90</x:v>
      </x:c>
      <x:c r="B22" s="38">
        <x:v>300000</x:v>
      </x:c>
      <x:c r="C22" s="60" t="str">
        <x:v>Management funding schedule.</x:v>
      </x:c>
    </x:row>
    <x:row r="23" ht="43.95000076293945" customHeight="1">
      <x:c r="A23" s="60" t="str">
        <x:v>Second subscription - January 2027</x:v>
      </x:c>
      <x:c r="B23" s="38">
        <x:v>110000</x:v>
      </x:c>
      <x:c r="C23" s="60" t="str">
        <x:v>Management funding schedule.</x:v>
      </x:c>
    </x:row>
    <x:row r="24" ht="43.95000076293945" customHeight="1">
      <x:c r="A24" s="60" t="str">
        <x:v>Third subscription - April 2027</x:v>
      </x:c>
      <x:c r="B24" s="38">
        <x:v>50000</x:v>
      </x:c>
      <x:c r="C24" s="33" t="s">
        <x:v>91</x:v>
      </x:c>
    </x:row>
    <x:row r="25" ht="43.95000076293945" customHeight="1">
      <x:c r="A25" s="33" t="s">
        <x:v>92</x:v>
      </x:c>
      <x:c r="B25" s="36" t="n">
        <x:f>SUM(B22:B24)</x:f>
        <x:v>460000</x:v>
      </x:c>
      <x:c r="C25" s="33" t="s">
        <x:v>93</x:v>
      </x:c>
    </x:row>
    <x:row r="26" ht="96" customHeight="1">
      <x:c r="A26" s="60" t="str">
        <x:v>Founder resources in this management forecast</x:v>
      </x:c>
      <x:c r="B26" s="60" t="str">
        <x:v>Memo only</x:v>
      </x:c>
      <x:c r="C26" s="60" t="str">
        <x:v>The forecast records no acquired founder asset or related depreciation. Statutory recognition depends on the executed ownership, licence and use agreements; rights of use are not automatically off balance sheet.</x:v>
      </x:c>
    </x:row>
    <x:row r="27" ht="70.05000305175781" customHeight="1">
      <x:c r="A27" s="33" t="s">
        <x:v>94</x:v>
      </x:c>
      <x:c r="B27" s="37" t="s">
        <x:v>95</x:v>
      </x:c>
      <x:c r="C27" s="60" t="str">
        <x:v>Management information. Formation costs have already been paid. No new founder cash contribution or separate incorporation charge is added.</x:v>
      </x:c>
    </x:row>
    <x:row r="28" ht="70.05000305175781" customHeight="1">
      <x:c r="A28" s="33" t="s">
        <x:v>96</x:v>
      </x:c>
      <x:c r="B28" s="37" t="s">
        <x:v>97</x:v>
      </x:c>
      <x:c r="C28" s="33" t="s">
        <x:v>98</x:v>
      </x:c>
    </x:row>
    <x:row r="29" ht="70.05000305175781" customHeight="1">
      <x:c r="A29" s="33" t="s">
        <x:v>99</x:v>
      </x:c>
      <x:c r="B29" s="40">
        <x:v>159000</x:v>
      </x:c>
      <x:c r="C29" s="33" t="s">
        <x:v>100</x:v>
      </x:c>
    </x:row>
    <x:row r="30" ht="70.05000305175781" customHeight="1">
      <x:c r="A30" s="60" t="str">
        <x:v>Operating model</x:v>
      </x:c>
      <x:c r="B30" s="60" t="str">
        <x:v>Oristella operating model (management)</x:v>
      </x:c>
      <x:c r="C30" s="61" t="str">
        <x:v>Service-stream and monthly operating schedules supplied by management. This is a standalone Oristella project forecast.</x:v>
      </x:c>
    </x:row>
    <x:row r="31" ht="80" customHeight="1">
      <x:c r="A31" s="61" t="str">
        <x:v>Accounting basis</x:v>
      </x:c>
      <x:c r="B31" s="37" t="s">
        <x:v>101</x:v>
      </x:c>
      <x:c r="C31" s="60" t="str">
        <x:v>Management project forecast. Founder-provided resources are shown as a memo item. Statutory treatment follows the actual agreements and applicable accounting standards.</x:v>
      </x:c>
    </x:row>
    <x:row r="32" ht="70.05000305175781" customHeight="1">
      <x:c r="A32" s="5" t="s">
        <x:v>102</x:v>
      </x:c>
      <x:c r="B32" s="41" t="s">
        <x:v>103</x:v>
      </x:c>
      <x:c r="C32" s="5" t="s">
        <x:v>104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105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106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107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108</x:v>
      </x:c>
      <x:c r="B4" s="4"/>
      <x:c r="C4" s="4"/>
      <x:c r="D4" s="4" t="s">
        <x:v>109</x:v>
      </x:c>
      <x:c r="E4" s="4" t="s">
        <x:v>110</x:v>
      </x:c>
      <x:c r="F4" s="4" t="s">
        <x:v>111</x:v>
      </x:c>
      <x:c r="G4" s="4" t="s">
        <x:v>112</x:v>
      </x:c>
      <x:c r="H4" s="4" t="s">
        <x:v>113</x:v>
      </x:c>
      <x:c r="I4" s="4" t="s">
        <x:v>114</x:v>
      </x:c>
      <x:c r="J4" s="4" t="s">
        <x:v>115</x:v>
      </x:c>
      <x:c r="K4" s="4" t="s">
        <x:v>116</x:v>
      </x:c>
      <x:c r="L4" s="4" t="s">
        <x:v>117</x:v>
      </x:c>
      <x:c r="M4" s="4" t="s">
        <x:v>118</x:v>
      </x:c>
      <x:c r="N4" s="4" t="s">
        <x:v>119</x:v>
      </x:c>
      <x:c r="O4" s="4" t="s">
        <x:v>120</x:v>
      </x:c>
      <x:c r="P4" s="4" t="s">
        <x:v>121</x:v>
      </x:c>
      <x:c r="Q4" s="4" t="s">
        <x:v>122</x:v>
      </x:c>
      <x:c r="R4" s="4" t="s">
        <x:v>123</x:v>
      </x:c>
      <x:c r="S4" s="4" t="s">
        <x:v>124</x:v>
      </x:c>
      <x:c r="T4" s="4" t="s">
        <x:v>125</x:v>
      </x:c>
      <x:c r="U4" s="4" t="s">
        <x:v>126</x:v>
      </x:c>
      <x:c r="V4" s="4" t="s">
        <x:v>127</x:v>
      </x:c>
      <x:c r="W4" s="4" t="s">
        <x:v>128</x:v>
      </x:c>
      <x:c r="X4" s="4" t="s">
        <x:v>129</x:v>
      </x:c>
      <x:c r="Y4" s="4" t="s">
        <x:v>130</x:v>
      </x:c>
      <x:c r="Z4" s="4" t="s">
        <x:v>131</x:v>
      </x:c>
      <x:c r="AA4" s="4" t="s">
        <x:v>132</x:v>
      </x:c>
      <x:c r="AB4" s="4" t="s">
        <x:v>133</x:v>
      </x:c>
      <x:c r="AC4" s="4" t="s">
        <x:v>134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135</x:v>
      </x:c>
      <x:c r="B6" s="1"/>
      <x:c r="C6" s="1"/>
      <x:c r="D6" s="2" t="n">
        <x:f>0*Inputs!$B$16</x:f>
        <x:v>0</x:v>
      </x:c>
      <x:c r="E6" s="2" t="n">
        <x:f>0*Inputs!$B$16</x:f>
        <x:v>0</x:v>
      </x:c>
      <x:c r="F6" s="2" t="n">
        <x:f>22900*Inputs!$B$16</x:f>
        <x:v>22900</x:v>
      </x:c>
      <x:c r="G6" s="2" t="n">
        <x:f>31400*Inputs!$B$16</x:f>
        <x:v>31400</x:v>
      </x:c>
      <x:c r="H6" s="2" t="n">
        <x:f>41800*Inputs!$B$16</x:f>
        <x:v>41800</x:v>
      </x:c>
      <x:c r="I6" s="2" t="n">
        <x:f>49700*Inputs!$B$16</x:f>
        <x:v>49700</x:v>
      </x:c>
      <x:c r="J6" s="2" t="n">
        <x:f>54300*Inputs!$B$16</x:f>
        <x:v>54300</x:v>
      </x:c>
      <x:c r="K6" s="2" t="n">
        <x:f>60800*Inputs!$B$16</x:f>
        <x:v>60800</x:v>
      </x:c>
      <x:c r="L6" s="2" t="n">
        <x:f>93400*Inputs!$B$16</x:f>
        <x:v>93400</x:v>
      </x:c>
      <x:c r="M6" s="2" t="n">
        <x:f>109400*Inputs!$B$16</x:f>
        <x:v>109400</x:v>
      </x:c>
      <x:c r="N6" s="2" t="n">
        <x:f>133300*Inputs!$B$16</x:f>
        <x:v>133300</x:v>
      </x:c>
      <x:c r="O6" s="2" t="n">
        <x:f>133400*Inputs!$B$16</x:f>
        <x:v>133400</x:v>
      </x:c>
      <x:c r="P6" s="2" t="n">
        <x:f>Inputs!$B$7*(1+Inputs!$B$5)</x:f>
        <x:v>133400</x:v>
      </x:c>
      <x:c r="Q6" s="2" t="n">
        <x:f>Inputs!$B$7*(1+Inputs!$B$5)</x:f>
        <x:v>133400</x:v>
      </x:c>
      <x:c r="R6" s="2" t="n">
        <x:f>Q6*(1+Inputs!$B$4)</x:f>
        <x:v>146740</x:v>
      </x:c>
      <x:c r="S6" s="2" t="n">
        <x:f>R6</x:f>
        <x:v>146740</x:v>
      </x:c>
      <x:c r="T6" s="2" t="n">
        <x:f>R6</x:f>
        <x:v>146740</x:v>
      </x:c>
      <x:c r="U6" s="2" t="n">
        <x:f>T6*(1+Inputs!$B$4)</x:f>
        <x:v>161414</x:v>
      </x:c>
      <x:c r="V6" s="2" t="n">
        <x:f>U6</x:f>
        <x:v>161414</x:v>
      </x:c>
      <x:c r="W6" s="2" t="n">
        <x:f>U6</x:f>
        <x:v>161414</x:v>
      </x:c>
      <x:c r="X6" s="2" t="n">
        <x:f>W6*(1+Inputs!$B$4)</x:f>
        <x:v>177555.40000000002</x:v>
      </x:c>
      <x:c r="Y6" s="2" t="n">
        <x:f>X6</x:f>
        <x:v>177555.40000000002</x:v>
      </x:c>
      <x:c r="Z6" s="2" t="n">
        <x:f>X6</x:f>
        <x:v>177555.40000000002</x:v>
      </x:c>
      <x:c r="AA6" s="2" t="n">
        <x:f>Z6*(1+Inputs!$B$4)</x:f>
        <x:v>195310.94000000003</x:v>
      </x:c>
      <x:c r="AB6" s="2" t="n">
        <x:f>AA6</x:f>
        <x:v>195310.94000000003</x:v>
      </x:c>
      <x:c r="AC6" s="2" t="n">
        <x:f>AA6</x:f>
        <x:v>195310.94000000003</x:v>
      </x:c>
    </x:row>
    <x:row r="7" ht="19.950000762939453" customHeight="1">
      <x:c r="A7" s="5" t="s">
        <x:v>136</x:v>
      </x:c>
      <x:c r="B7" s="1"/>
      <x:c r="C7" s="1"/>
      <x:c r="D7" s="2">
        <x:v>-41900</x:v>
      </x:c>
      <x:c r="E7" s="2">
        <x:v>-47800</x:v>
      </x:c>
      <x:c r="F7" s="2">
        <x:v>-51200</x:v>
      </x:c>
      <x:c r="G7" s="2">
        <x:v>-51200</x:v>
      </x:c>
      <x:c r="H7" s="2">
        <x:v>-58050</x:v>
      </x:c>
      <x:c r="I7" s="2">
        <x:v>-55050</x:v>
      </x:c>
      <x:c r="J7" s="2">
        <x:v>-55050</x:v>
      </x:c>
      <x:c r="K7" s="2">
        <x:v>-55050</x:v>
      </x:c>
      <x:c r="L7" s="2">
        <x:v>-62000</x:v>
      </x:c>
      <x:c r="M7" s="2">
        <x:v>-62000</x:v>
      </x:c>
      <x:c r="N7" s="2">
        <x:v>-62000</x:v>
      </x:c>
      <x:c r="O7" s="2">
        <x:v>-60000</x:v>
      </x:c>
      <x:c r="P7" s="2" t="n">
        <x:f>-Inputs!$B$6</x:f>
        <x:v>-61333.333333333336</x:v>
      </x:c>
      <x:c r="Q7" s="2" t="n">
        <x:f>-Inputs!$B$6</x:f>
        <x:v>-61333.333333333336</x:v>
      </x:c>
      <x:c r="R7" s="2" t="n">
        <x:f>-Inputs!$B$6</x:f>
        <x:v>-61333.333333333336</x:v>
      </x:c>
      <x:c r="S7" s="2" t="n">
        <x:f>-Inputs!$B$6</x:f>
        <x:v>-61333.333333333336</x:v>
      </x:c>
      <x:c r="T7" s="2" t="n">
        <x:f>-Inputs!$B$6</x:f>
        <x:v>-61333.333333333336</x:v>
      </x:c>
      <x:c r="U7" s="2" t="n">
        <x:f>-Inputs!$B$6</x:f>
        <x:v>-61333.333333333336</x:v>
      </x:c>
      <x:c r="V7" s="2" t="n">
        <x:f>-Inputs!$B$6</x:f>
        <x:v>-61333.333333333336</x:v>
      </x:c>
      <x:c r="W7" s="2" t="n">
        <x:f>-Inputs!$B$6</x:f>
        <x:v>-61333.333333333336</x:v>
      </x:c>
      <x:c r="X7" s="2" t="n">
        <x:f>-Inputs!$B$6</x:f>
        <x:v>-61333.333333333336</x:v>
      </x:c>
      <x:c r="Y7" s="2" t="n">
        <x:f>-Inputs!$B$6</x:f>
        <x:v>-61333.333333333336</x:v>
      </x:c>
      <x:c r="Z7" s="2" t="n">
        <x:f>-Inputs!$B$6</x:f>
        <x:v>-61333.333333333336</x:v>
      </x:c>
      <x:c r="AA7" s="2" t="n">
        <x:f>-Inputs!$B$6</x:f>
        <x:v>-61333.333333333336</x:v>
      </x:c>
      <x:c r="AB7" s="2" t="n">
        <x:f>-Inputs!$B$6</x:f>
        <x:v>-61333.333333333336</x:v>
      </x:c>
      <x:c r="AC7" s="2" t="n">
        <x:f>-Inputs!$B$6</x:f>
        <x:v>-61333.333333333336</x:v>
      </x:c>
    </x:row>
    <x:row r="8" ht="19.950000762939453" customHeight="1">
      <x:c r="A8" s="5" t="s">
        <x:v>137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138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139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140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141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142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143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144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145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146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147</x:v>
      </x:c>
      <x:c r="B18" s="7"/>
      <x:c r="C18" s="7"/>
      <x:c r="D18" s="8" t="n">
        <x:f t="shared" ref="D18:AC18" si="6">D6+D7+D38+D12+D13+D40</x:f>
        <x:v>-41900</x:v>
      </x:c>
      <x:c r="E18" s="8">
        <x:f t="shared" si="6"/>
        <x:v>-19855</x:v>
      </x:c>
      <x:c r="F18" s="8">
        <x:f t="shared" si="6"/>
        <x:v>-28300</x:v>
      </x:c>
      <x:c r="G18" s="8">
        <x:f t="shared" si="6"/>
        <x:v>-19800</x:v>
      </x:c>
      <x:c r="H18" s="8">
        <x:f t="shared" si="6"/>
        <x:v>39640</x:v>
      </x:c>
      <x:c r="I18" s="8">
        <x:f t="shared" si="6"/>
        <x:v>-5350</x:v>
      </x:c>
      <x:c r="J18" s="8">
        <x:f t="shared" si="6"/>
        <x:v>-750</x:v>
      </x:c>
      <x:c r="K18" s="8">
        <x:f t="shared" si="6"/>
        <x:v>61640</x:v>
      </x:c>
      <x:c r="L18" s="8">
        <x:f t="shared" si="6"/>
        <x:v>31400</x:v>
      </x:c>
      <x:c r="M18" s="8">
        <x:f t="shared" si="6"/>
        <x:v>47400</x:v>
      </x:c>
      <x:c r="N18" s="8">
        <x:f t="shared" si="6"/>
        <x:v>127190</x:v>
      </x:c>
      <x:c r="O18" s="8">
        <x:f t="shared" si="6"/>
        <x:v>73400</x:v>
      </x:c>
      <x:c r="P18" s="8">
        <x:f t="shared" si="6"/>
        <x:v>72066.666666666657</x:v>
      </x:c>
      <x:c r="Q18" s="8">
        <x:f t="shared" si="6"/>
        <x:v>90567.666666666657</x:v>
      </x:c>
      <x:c r="R18" s="8">
        <x:f t="shared" si="6"/>
        <x:v>85406.666666666657</x:v>
      </x:c>
      <x:c r="S18" s="8">
        <x:f t="shared" si="6"/>
        <x:v>85406.666666666657</x:v>
      </x:c>
      <x:c r="T18" s="8">
        <x:f t="shared" si="6"/>
        <x:v>141296.66666666666</x:v>
      </x:c>
      <x:c r="U18" s="8">
        <x:f t="shared" si="6"/>
        <x:v>100080.66666666666</x:v>
      </x:c>
      <x:c r="V18" s="8">
        <x:f t="shared" si="6"/>
        <x:v>100080.66666666666</x:v>
      </x:c>
      <x:c r="W18" s="8">
        <x:f t="shared" si="6"/>
        <x:v>155970.66666666666</x:v>
      </x:c>
      <x:c r="X18" s="8">
        <x:f t="shared" si="6"/>
        <x:v>116222.06666666668</x:v>
      </x:c>
      <x:c r="Y18" s="8">
        <x:f t="shared" si="6"/>
        <x:v>116222.06666666668</x:v>
      </x:c>
      <x:c r="Z18" s="8">
        <x:f t="shared" si="6"/>
        <x:v>172112.06666666668</x:v>
      </x:c>
      <x:c r="AA18" s="8">
        <x:f t="shared" si="6"/>
        <x:v>133977.60666666669</x:v>
      </x:c>
      <x:c r="AB18" s="8">
        <x:f t="shared" si="6"/>
        <x:v>133977.60666666669</x:v>
      </x:c>
      <x:c r="AC18" s="8">
        <x:f t="shared" si="6"/>
        <x:v>107766.60666666669</x:v>
      </x:c>
    </x:row>
    <x:row r="19" ht="19.950000762939453" customHeight="1">
      <x:c r="A19" s="5" t="s">
        <x:v>148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-29271.51488087133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-121176.87668087134</x:v>
      </x:c>
    </x:row>
    <x:row r="20" ht="19.950000762939453" customHeight="1">
      <x:c r="A20" s="6" t="s">
        <x:v>149</x:v>
      </x:c>
      <x:c r="B20" s="7"/>
      <x:c r="C20" s="7"/>
      <x:c r="D20" s="8" t="n">
        <x:f t="shared" ref="D20:AC20" si="7">D18+D19</x:f>
        <x:v>-41900</x:v>
      </x:c>
      <x:c r="E20" s="8">
        <x:f t="shared" si="7"/>
        <x:v>-19855</x:v>
      </x:c>
      <x:c r="F20" s="8">
        <x:f t="shared" si="7"/>
        <x:v>-28300</x:v>
      </x:c>
      <x:c r="G20" s="8">
        <x:f t="shared" si="7"/>
        <x:v>-19800</x:v>
      </x:c>
      <x:c r="H20" s="8">
        <x:f t="shared" si="7"/>
        <x:v>39640</x:v>
      </x:c>
      <x:c r="I20" s="8">
        <x:f t="shared" si="7"/>
        <x:v>-5350</x:v>
      </x:c>
      <x:c r="J20" s="8">
        <x:f t="shared" si="7"/>
        <x:v>-750</x:v>
      </x:c>
      <x:c r="K20" s="8">
        <x:f t="shared" si="7"/>
        <x:v>61640</x:v>
      </x:c>
      <x:c r="L20" s="8">
        <x:f t="shared" si="7"/>
        <x:v>31400</x:v>
      </x:c>
      <x:c r="M20" s="8">
        <x:f t="shared" si="7"/>
        <x:v>47400</x:v>
      </x:c>
      <x:c r="N20" s="8">
        <x:f t="shared" si="7"/>
        <x:v>127190</x:v>
      </x:c>
      <x:c r="O20" s="8">
        <x:f t="shared" si="7"/>
        <x:v>73400</x:v>
      </x:c>
      <x:c r="P20" s="8">
        <x:f t="shared" si="7"/>
        <x:v>72066.666666666657</x:v>
      </x:c>
      <x:c r="Q20" s="8">
        <x:f t="shared" si="7"/>
        <x:v>61296.151785795329</x:v>
      </x:c>
      <x:c r="R20" s="8">
        <x:f t="shared" si="7"/>
        <x:v>85406.666666666657</x:v>
      </x:c>
      <x:c r="S20" s="8">
        <x:f t="shared" si="7"/>
        <x:v>85406.666666666657</x:v>
      </x:c>
      <x:c r="T20" s="8">
        <x:f t="shared" si="7"/>
        <x:v>141296.66666666666</x:v>
      </x:c>
      <x:c r="U20" s="8">
        <x:f t="shared" si="7"/>
        <x:v>100080.66666666666</x:v>
      </x:c>
      <x:c r="V20" s="8">
        <x:f t="shared" si="7"/>
        <x:v>100080.66666666666</x:v>
      </x:c>
      <x:c r="W20" s="8">
        <x:f t="shared" si="7"/>
        <x:v>155970.66666666666</x:v>
      </x:c>
      <x:c r="X20" s="8">
        <x:f t="shared" si="7"/>
        <x:v>116222.06666666668</x:v>
      </x:c>
      <x:c r="Y20" s="8">
        <x:f t="shared" si="7"/>
        <x:v>116222.06666666668</x:v>
      </x:c>
      <x:c r="Z20" s="8">
        <x:f t="shared" si="7"/>
        <x:v>172112.06666666668</x:v>
      </x:c>
      <x:c r="AA20" s="8">
        <x:f t="shared" si="7"/>
        <x:v>133977.60666666669</x:v>
      </x:c>
      <x:c r="AB20" s="8">
        <x:f t="shared" si="7"/>
        <x:v>133977.60666666669</x:v>
      </x:c>
      <x:c r="AC20" s="8">
        <x:f t="shared" si="7"/>
        <x:v>-13410.270014204652</x:v>
      </x:c>
    </x:row>
    <x:row r="21" ht="19.950000762939453" customHeight="1">
      <x:c r="A21" s="5" t="s">
        <x:v>50</x:v>
      </x:c>
      <x:c r="B21" s="1"/>
      <x:c r="C21" s="1"/>
      <x:c r="D21" s="2" t="n">
        <x:f>Inputs!$B$22</x:f>
        <x:v>300000</x:v>
      </x:c>
      <x:c r="E21" s="2">
        <x:v>0</x:v>
      </x:c>
      <x:c r="F21" s="50" t="n">
        <x:f>Inputs!$B$23</x:f>
        <x:v>110000</x:v>
      </x:c>
      <x:c r="G21" s="50">
        <x:v>0</x:v>
      </x:c>
      <x:c r="H21" s="2">
        <x:v>0</x:v>
      </x:c>
      <x:c r="I21" s="50" t="n">
        <x:f>Inputs!$B$24</x:f>
        <x:v>50000</x:v>
      </x:c>
      <x:c r="J21" s="50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150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151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46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-29271.51488087133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152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29271.514880871331</x:v>
      </x:c>
      <x:c r="R25" s="2">
        <x:f t="shared" si="9"/>
        <x:v>29271.514880871331</x:v>
      </x:c>
      <x:c r="S25" s="2">
        <x:f t="shared" si="9"/>
        <x:v>29271.514880871331</x:v>
      </x:c>
      <x:c r="T25" s="2">
        <x:f t="shared" si="9"/>
        <x:v>29271.514880871331</x:v>
      </x:c>
      <x:c r="U25" s="2">
        <x:f t="shared" si="9"/>
        <x:v>29271.514880871331</x:v>
      </x:c>
      <x:c r="V25" s="2">
        <x:f t="shared" si="9"/>
        <x:v>29271.514880871331</x:v>
      </x:c>
      <x:c r="W25" s="2">
        <x:f t="shared" si="9"/>
        <x:v>29271.514880871331</x:v>
      </x:c>
      <x:c r="X25" s="2">
        <x:f t="shared" si="9"/>
        <x:v>29271.514880871331</x:v>
      </x:c>
      <x:c r="Y25" s="2">
        <x:f t="shared" si="9"/>
        <x:v>29271.514880871331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121176.87668087134</x:v>
      </x:c>
    </x:row>
    <x:row r="26" ht="19.950000762939453" customHeight="1">
      <x:c r="A26" s="5" t="s">
        <x:v>153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154</x:v>
      </x:c>
      <x:c r="B27" s="7"/>
      <x:c r="C27" s="7"/>
      <x:c r="D27" s="8" t="n">
        <x:f>D20+D26</x:f>
        <x:v>-41900</x:v>
      </x:c>
      <x:c r="E27" s="8" t="n">
        <x:f t="shared" ref="E27:AC27" si="11">D27+E20+E26</x:f>
        <x:v>-61755</x:v>
      </x:c>
      <x:c r="F27" s="8">
        <x:f t="shared" si="11"/>
        <x:v>-90055</x:v>
      </x:c>
      <x:c r="G27" s="8">
        <x:f t="shared" si="11"/>
        <x:v>-109855</x:v>
      </x:c>
      <x:c r="H27" s="8">
        <x:f t="shared" si="11"/>
        <x:v>-70215</x:v>
      </x:c>
      <x:c r="I27" s="8">
        <x:f t="shared" si="11"/>
        <x:v>-75565</x:v>
      </x:c>
      <x:c r="J27" s="8">
        <x:f t="shared" si="11"/>
        <x:v>-76315</x:v>
      </x:c>
      <x:c r="K27" s="8">
        <x:f t="shared" si="11"/>
        <x:v>-14675</x:v>
      </x:c>
      <x:c r="L27" s="8">
        <x:f t="shared" si="11"/>
        <x:v>16725</x:v>
      </x:c>
      <x:c r="M27" s="8">
        <x:f t="shared" si="11"/>
        <x:v>64125</x:v>
      </x:c>
      <x:c r="N27" s="8">
        <x:f t="shared" si="11"/>
        <x:v>191315</x:v>
      </x:c>
      <x:c r="O27" s="8">
        <x:f t="shared" si="11"/>
        <x:v>264715</x:v>
      </x:c>
      <x:c r="P27" s="8">
        <x:f t="shared" si="11"/>
        <x:v>336781.66666666663</x:v>
      </x:c>
      <x:c r="Q27" s="8">
        <x:f t="shared" si="11"/>
        <x:v>398077.81845246197</x:v>
      </x:c>
      <x:c r="R27" s="8">
        <x:f t="shared" si="11"/>
        <x:v>483484.4851191286</x:v>
      </x:c>
      <x:c r="S27" s="8">
        <x:f t="shared" si="11"/>
        <x:v>568891.15178579523</x:v>
      </x:c>
      <x:c r="T27" s="8">
        <x:f t="shared" si="11"/>
        <x:v>710187.81845246186</x:v>
      </x:c>
      <x:c r="U27" s="8">
        <x:f t="shared" si="11"/>
        <x:v>810268.48511912848</x:v>
      </x:c>
      <x:c r="V27" s="8">
        <x:f t="shared" si="11"/>
        <x:v>910349.15178579511</x:v>
      </x:c>
      <x:c r="W27" s="8">
        <x:f t="shared" si="11"/>
        <x:v>1066319.8184524619</x:v>
      </x:c>
      <x:c r="X27" s="8">
        <x:f t="shared" si="11"/>
        <x:v>1182541.8851191285</x:v>
      </x:c>
      <x:c r="Y27" s="8">
        <x:f t="shared" si="11"/>
        <x:v>1298763.9517857952</x:v>
      </x:c>
      <x:c r="Z27" s="8">
        <x:f t="shared" si="11"/>
        <x:v>1470876.0184524618</x:v>
      </x:c>
      <x:c r="AA27" s="8">
        <x:f t="shared" si="11"/>
        <x:v>1604853.6251191285</x:v>
      </x:c>
      <x:c r="AB27" s="8">
        <x:f t="shared" si="11"/>
        <x:v>1738831.2317857952</x:v>
      </x:c>
      <x:c r="AC27" s="8">
        <x:f t="shared" si="11"/>
        <x:v>1725420.9617715906</x:v>
      </x:c>
    </x:row>
    <x:row r="28" ht="19.950000762939453" customHeight="1">
      <x:c r="A28" s="5" t="s">
        <x:v>22</x:v>
      </x:c>
      <x:c r="B28" s="1"/>
      <x:c r="C28" s="1"/>
      <x:c r="D28" s="2" t="n">
        <x:f t="shared" ref="D28:AC28" si="12">D6+D7+D38+D24</x:f>
        <x:v>-41900</x:v>
      </x:c>
      <x:c r="E28" s="2">
        <x:f t="shared" si="12"/>
        <x:v>-19855</x:v>
      </x:c>
      <x:c r="F28" s="2">
        <x:f t="shared" si="12"/>
        <x:v>-28300</x:v>
      </x:c>
      <x:c r="G28" s="2">
        <x:f t="shared" si="12"/>
        <x:v>-19800</x:v>
      </x:c>
      <x:c r="H28" s="2">
        <x:f t="shared" si="12"/>
        <x:v>39640</x:v>
      </x:c>
      <x:c r="I28" s="2">
        <x:f t="shared" si="12"/>
        <x:v>-5350</x:v>
      </x:c>
      <x:c r="J28" s="2">
        <x:f t="shared" si="12"/>
        <x:v>-750</x:v>
      </x:c>
      <x:c r="K28" s="2">
        <x:f t="shared" si="12"/>
        <x:v>61640</x:v>
      </x:c>
      <x:c r="L28" s="2">
        <x:f t="shared" si="12"/>
        <x:v>31400</x:v>
      </x:c>
      <x:c r="M28" s="2">
        <x:f t="shared" si="12"/>
        <x:v>47400</x:v>
      </x:c>
      <x:c r="N28" s="2">
        <x:f t="shared" si="12"/>
        <x:v>127190</x:v>
      </x:c>
      <x:c r="O28" s="2">
        <x:f t="shared" si="12"/>
        <x:v>73400</x:v>
      </x:c>
      <x:c r="P28" s="2">
        <x:f t="shared" si="12"/>
        <x:v>72066.666666666657</x:v>
      </x:c>
      <x:c r="Q28" s="2">
        <x:f t="shared" si="12"/>
        <x:v>127956.66666666666</x:v>
      </x:c>
      <x:c r="R28" s="2">
        <x:f t="shared" si="12"/>
        <x:v>85406.666666666657</x:v>
      </x:c>
      <x:c r="S28" s="2">
        <x:f t="shared" si="12"/>
        <x:v>85406.666666666657</x:v>
      </x:c>
      <x:c r="T28" s="2">
        <x:f t="shared" si="12"/>
        <x:v>141296.66666666666</x:v>
      </x:c>
      <x:c r="U28" s="2">
        <x:f t="shared" si="12"/>
        <x:v>100080.66666666666</x:v>
      </x:c>
      <x:c r="V28" s="2">
        <x:f t="shared" si="12"/>
        <x:v>100080.66666666666</x:v>
      </x:c>
      <x:c r="W28" s="2">
        <x:f t="shared" si="12"/>
        <x:v>155970.66666666666</x:v>
      </x:c>
      <x:c r="X28" s="2">
        <x:f t="shared" si="12"/>
        <x:v>116222.06666666668</x:v>
      </x:c>
      <x:c r="Y28" s="2">
        <x:f t="shared" si="12"/>
        <x:v>116222.06666666668</x:v>
      </x:c>
      <x:c r="Z28" s="2">
        <x:f t="shared" si="12"/>
        <x:v>142840.55178579534</x:v>
      </x:c>
      <x:c r="AA28" s="2">
        <x:f t="shared" si="12"/>
        <x:v>133977.60666666669</x:v>
      </x:c>
      <x:c r="AB28" s="2">
        <x:f t="shared" si="12"/>
        <x:v>133977.60666666669</x:v>
      </x:c>
      <x:c r="AC28" s="2">
        <x:f t="shared" si="12"/>
        <x:v>189867.60666666669</x:v>
      </x:c>
    </x:row>
    <x:row r="29" ht="19.950000762939453" customHeight="1">
      <x:c r="A29" s="5" t="s">
        <x:v>49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53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54</x:v>
      </x:c>
      <x:c r="B31" s="1"/>
      <x:c r="C31" s="1"/>
      <x:c r="D31" s="2" t="n">
        <x:f t="shared" ref="D31:AC31" si="15">D28+D29+D30</x:f>
        <x:v>215100</x:v>
      </x:c>
      <x:c r="E31" s="2">
        <x:f t="shared" si="15"/>
        <x:v>-163800</x:v>
      </x:c>
      <x:c r="F31" s="2">
        <x:f t="shared" si="15"/>
        <x:v>81700</x:v>
      </x:c>
      <x:c r="G31" s="2">
        <x:f t="shared" si="15"/>
        <x:v>-19800</x:v>
      </x:c>
      <x:c r="H31" s="2">
        <x:f t="shared" si="15"/>
        <x:v>-16250</x:v>
      </x:c>
      <x:c r="I31" s="2">
        <x:f t="shared" si="15"/>
        <x:v>44650</x:v>
      </x:c>
      <x:c r="J31" s="2">
        <x:f t="shared" si="15"/>
        <x:v>-750</x:v>
      </x:c>
      <x:c r="K31" s="2">
        <x:f t="shared" si="15"/>
        <x:v>5750</x:v>
      </x:c>
      <x:c r="L31" s="2">
        <x:f t="shared" si="15"/>
        <x:v>31400</x:v>
      </x:c>
      <x:c r="M31" s="2">
        <x:f t="shared" si="15"/>
        <x:v>47400</x:v>
      </x:c>
      <x:c r="N31" s="2">
        <x:f t="shared" si="15"/>
        <x:v>71300</x:v>
      </x:c>
      <x:c r="O31" s="2">
        <x:f t="shared" si="15"/>
        <x:v>73400</x:v>
      </x:c>
      <x:c r="P31" s="2">
        <x:f t="shared" si="15"/>
        <x:v>72066.666666666657</x:v>
      </x:c>
      <x:c r="Q31" s="2">
        <x:f t="shared" si="15"/>
        <x:v>72066.666666666657</x:v>
      </x:c>
      <x:c r="R31" s="2">
        <x:f t="shared" si="15"/>
        <x:v>85406.666666666657</x:v>
      </x:c>
      <x:c r="S31" s="2">
        <x:f t="shared" si="15"/>
        <x:v>85406.666666666657</x:v>
      </x:c>
      <x:c r="T31" s="2">
        <x:f t="shared" si="15"/>
        <x:v>85406.666666666657</x:v>
      </x:c>
      <x:c r="U31" s="2">
        <x:f t="shared" si="15"/>
        <x:v>100080.66666666666</x:v>
      </x:c>
      <x:c r="V31" s="2">
        <x:f t="shared" si="15"/>
        <x:v>100080.66666666666</x:v>
      </x:c>
      <x:c r="W31" s="2">
        <x:f t="shared" si="15"/>
        <x:v>100080.66666666666</x:v>
      </x:c>
      <x:c r="X31" s="2">
        <x:f t="shared" si="15"/>
        <x:v>116222.06666666668</x:v>
      </x:c>
      <x:c r="Y31" s="2">
        <x:f t="shared" si="15"/>
        <x:v>116222.06666666668</x:v>
      </x:c>
      <x:c r="Z31" s="2">
        <x:f t="shared" si="15"/>
        <x:v>86950.551785795338</x:v>
      </x:c>
      <x:c r="AA31" s="2">
        <x:f t="shared" si="15"/>
        <x:v>133977.60666666669</x:v>
      </x:c>
      <x:c r="AB31" s="2">
        <x:f t="shared" si="15"/>
        <x:v>133977.60666666669</x:v>
      </x:c>
      <x:c r="AC31" s="2">
        <x:f t="shared" si="15"/>
        <x:v>133977.60666666669</x:v>
      </x:c>
    </x:row>
    <x:row r="32" ht="19.950000762939453" customHeight="1">
      <x:c r="A32" s="5" t="s">
        <x:v>42</x:v>
      </x:c>
      <x:c r="B32" s="1"/>
      <x:c r="C32" s="1"/>
      <x:c r="D32" s="2">
        <x:v>0</x:v>
      </x:c>
      <x:c r="E32" s="2" t="n">
        <x:f t="shared" ref="E32:AC32" si="16">D33</x:f>
        <x:v>215100</x:v>
      </x:c>
      <x:c r="F32" s="2">
        <x:f t="shared" si="16"/>
        <x:v>51300</x:v>
      </x:c>
      <x:c r="G32" s="2">
        <x:f t="shared" si="16"/>
        <x:v>133000</x:v>
      </x:c>
      <x:c r="H32" s="2">
        <x:f t="shared" si="16"/>
        <x:v>113200</x:v>
      </x:c>
      <x:c r="I32" s="2">
        <x:f t="shared" si="16"/>
        <x:v>96950</x:v>
      </x:c>
      <x:c r="J32" s="2">
        <x:f t="shared" si="16"/>
        <x:v>141600</x:v>
      </x:c>
      <x:c r="K32" s="2">
        <x:f t="shared" si="16"/>
        <x:v>140850</x:v>
      </x:c>
      <x:c r="L32" s="2">
        <x:f t="shared" si="16"/>
        <x:v>146600</x:v>
      </x:c>
      <x:c r="M32" s="2">
        <x:f t="shared" si="16"/>
        <x:v>178000</x:v>
      </x:c>
      <x:c r="N32" s="2">
        <x:f t="shared" si="16"/>
        <x:v>225400</x:v>
      </x:c>
      <x:c r="O32" s="2">
        <x:f t="shared" si="16"/>
        <x:v>296700</x:v>
      </x:c>
      <x:c r="P32" s="2">
        <x:f t="shared" si="16"/>
        <x:v>370100</x:v>
      </x:c>
      <x:c r="Q32" s="2">
        <x:f t="shared" si="16"/>
        <x:v>442166.66666666663</x:v>
      </x:c>
      <x:c r="R32" s="2">
        <x:f t="shared" si="16"/>
        <x:v>514233.33333333326</x:v>
      </x:c>
      <x:c r="S32" s="2">
        <x:f t="shared" si="16"/>
        <x:v>599639.99999999988</x:v>
      </x:c>
      <x:c r="T32" s="2">
        <x:f t="shared" si="16"/>
        <x:v>685046.66666666651</x:v>
      </x:c>
      <x:c r="U32" s="2">
        <x:f t="shared" si="16"/>
        <x:v>770453.33333333314</x:v>
      </x:c>
      <x:c r="V32" s="2">
        <x:f t="shared" si="16"/>
        <x:v>870533.99999999977</x:v>
      </x:c>
      <x:c r="W32" s="2">
        <x:f t="shared" si="16"/>
        <x:v>970614.6666666664</x:v>
      </x:c>
      <x:c r="X32" s="2">
        <x:f t="shared" si="16"/>
        <x:v>1070695.333333333</x:v>
      </x:c>
      <x:c r="Y32" s="2">
        <x:f t="shared" si="16"/>
        <x:v>1186917.3999999997</x:v>
      </x:c>
      <x:c r="Z32" s="2">
        <x:f t="shared" si="16"/>
        <x:v>1303139.4666666663</x:v>
      </x:c>
      <x:c r="AA32" s="2">
        <x:f t="shared" si="16"/>
        <x:v>1390090.0184524616</x:v>
      </x:c>
      <x:c r="AB32" s="2">
        <x:f t="shared" si="16"/>
        <x:v>1524067.6251191283</x:v>
      </x:c>
      <x:c r="AC32" s="2">
        <x:f t="shared" si="16"/>
        <x:v>1658045.231785795</x:v>
      </x:c>
    </x:row>
    <x:row r="33" ht="19.950000762939453" customHeight="1">
      <x:c r="A33" s="6" t="s">
        <x:v>55</x:v>
      </x:c>
      <x:c r="B33" s="7"/>
      <x:c r="C33" s="7"/>
      <x:c r="D33" s="8" t="n">
        <x:f t="shared" ref="D33:AC33" si="17">D32+D31</x:f>
        <x:v>215100</x:v>
      </x:c>
      <x:c r="E33" s="8">
        <x:f t="shared" si="17"/>
        <x:v>51300</x:v>
      </x:c>
      <x:c r="F33" s="8">
        <x:f t="shared" si="17"/>
        <x:v>133000</x:v>
      </x:c>
      <x:c r="G33" s="8">
        <x:f t="shared" si="17"/>
        <x:v>113200</x:v>
      </x:c>
      <x:c r="H33" s="8">
        <x:f t="shared" si="17"/>
        <x:v>96950</x:v>
      </x:c>
      <x:c r="I33" s="8">
        <x:f t="shared" si="17"/>
        <x:v>141600</x:v>
      </x:c>
      <x:c r="J33" s="8">
        <x:f t="shared" si="17"/>
        <x:v>140850</x:v>
      </x:c>
      <x:c r="K33" s="8">
        <x:f t="shared" si="17"/>
        <x:v>146600</x:v>
      </x:c>
      <x:c r="L33" s="8">
        <x:f t="shared" si="17"/>
        <x:v>178000</x:v>
      </x:c>
      <x:c r="M33" s="8">
        <x:f t="shared" si="17"/>
        <x:v>225400</x:v>
      </x:c>
      <x:c r="N33" s="8">
        <x:f t="shared" si="17"/>
        <x:v>296700</x:v>
      </x:c>
      <x:c r="O33" s="8">
        <x:f t="shared" si="17"/>
        <x:v>370100</x:v>
      </x:c>
      <x:c r="P33" s="8">
        <x:f t="shared" si="17"/>
        <x:v>442166.66666666663</x:v>
      </x:c>
      <x:c r="Q33" s="8">
        <x:f t="shared" si="17"/>
        <x:v>514233.33333333326</x:v>
      </x:c>
      <x:c r="R33" s="8">
        <x:f t="shared" si="17"/>
        <x:v>599639.99999999988</x:v>
      </x:c>
      <x:c r="S33" s="8">
        <x:f t="shared" si="17"/>
        <x:v>685046.66666666651</x:v>
      </x:c>
      <x:c r="T33" s="8">
        <x:f t="shared" si="17"/>
        <x:v>770453.33333333314</x:v>
      </x:c>
      <x:c r="U33" s="8">
        <x:f t="shared" si="17"/>
        <x:v>870533.99999999977</x:v>
      </x:c>
      <x:c r="V33" s="8">
        <x:f t="shared" si="17"/>
        <x:v>970614.6666666664</x:v>
      </x:c>
      <x:c r="W33" s="8">
        <x:f t="shared" si="17"/>
        <x:v>1070695.333333333</x:v>
      </x:c>
      <x:c r="X33" s="8">
        <x:f t="shared" si="17"/>
        <x:v>1186917.3999999997</x:v>
      </x:c>
      <x:c r="Y33" s="8">
        <x:f t="shared" si="17"/>
        <x:v>1303139.4666666663</x:v>
      </x:c>
      <x:c r="Z33" s="8">
        <x:f t="shared" si="17"/>
        <x:v>1390090.0184524616</x:v>
      </x:c>
      <x:c r="AA33" s="8">
        <x:f t="shared" si="17"/>
        <x:v>1524067.6251191283</x:v>
      </x:c>
      <x:c r="AB33" s="8">
        <x:f t="shared" si="17"/>
        <x:v>1658045.231785795</x:v>
      </x:c>
      <x:c r="AC33" s="8">
        <x:f t="shared" si="17"/>
        <x:v>1792022.8384524616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258100</x:v>
      </x:c>
      <x:c r="E34" s="8">
        <x:f t="shared" si="18"/>
        <x:v>238245</x:v>
      </x:c>
      <x:c r="F34" s="8">
        <x:f t="shared" si="18"/>
        <x:v>319945</x:v>
      </x:c>
      <x:c r="G34" s="8">
        <x:f t="shared" si="18"/>
        <x:v>300145</x:v>
      </x:c>
      <x:c r="H34" s="8">
        <x:f t="shared" si="18"/>
        <x:v>339785</x:v>
      </x:c>
      <x:c r="I34" s="8">
        <x:f t="shared" si="18"/>
        <x:v>384435</x:v>
      </x:c>
      <x:c r="J34" s="8">
        <x:f t="shared" si="18"/>
        <x:v>383685</x:v>
      </x:c>
      <x:c r="K34" s="8">
        <x:f t="shared" si="18"/>
        <x:v>445325</x:v>
      </x:c>
      <x:c r="L34" s="8">
        <x:f t="shared" si="18"/>
        <x:v>476725</x:v>
      </x:c>
      <x:c r="M34" s="8">
        <x:f t="shared" si="18"/>
        <x:v>524125</x:v>
      </x:c>
      <x:c r="N34" s="8">
        <x:f t="shared" si="18"/>
        <x:v>651315</x:v>
      </x:c>
      <x:c r="O34" s="8">
        <x:f t="shared" si="18"/>
        <x:v>724715</x:v>
      </x:c>
      <x:c r="P34" s="8">
        <x:f t="shared" si="18"/>
        <x:v>796781.66666666663</x:v>
      </x:c>
      <x:c r="Q34" s="8">
        <x:f t="shared" si="18"/>
        <x:v>887349.33333333326</x:v>
      </x:c>
      <x:c r="R34" s="8">
        <x:f t="shared" si="18"/>
        <x:v>972755.99999999988</x:v>
      </x:c>
      <x:c r="S34" s="8">
        <x:f t="shared" si="18"/>
        <x:v>1058162.6666666665</x:v>
      </x:c>
      <x:c r="T34" s="8">
        <x:f t="shared" si="18"/>
        <x:v>1199459.333333333</x:v>
      </x:c>
      <x:c r="U34" s="8">
        <x:f t="shared" si="18"/>
        <x:v>1299539.9999999998</x:v>
      </x:c>
      <x:c r="V34" s="8">
        <x:f t="shared" si="18"/>
        <x:v>1399620.6666666665</x:v>
      </x:c>
      <x:c r="W34" s="8">
        <x:f t="shared" si="18"/>
        <x:v>1555591.333333333</x:v>
      </x:c>
      <x:c r="X34" s="8">
        <x:f t="shared" si="18"/>
        <x:v>1671813.3999999997</x:v>
      </x:c>
      <x:c r="Y34" s="8">
        <x:f t="shared" si="18"/>
        <x:v>1788035.4666666663</x:v>
      </x:c>
      <x:c r="Z34" s="8">
        <x:f t="shared" si="18"/>
        <x:v>1930876.0184524616</x:v>
      </x:c>
      <x:c r="AA34" s="8">
        <x:f t="shared" si="18"/>
        <x:v>2064853.6251191283</x:v>
      </x:c>
      <x:c r="AB34" s="8">
        <x:f t="shared" si="18"/>
        <x:v>2198831.2317857947</x:v>
      </x:c>
      <x:c r="AC34" s="8">
        <x:f t="shared" si="18"/>
        <x:v>2306597.8384524616</x:v>
      </x:c>
    </x:row>
    <x:row r="35" ht="19.950000762939453" customHeight="1">
      <x:c r="A35" s="6" t="s">
        <x:v>155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489271.51488087134</x:v>
      </x:c>
      <x:c r="R35" s="8">
        <x:f t="shared" si="19"/>
        <x:v>489271.51488087134</x:v>
      </x:c>
      <x:c r="S35" s="8">
        <x:f t="shared" si="19"/>
        <x:v>489271.51488087134</x:v>
      </x:c>
      <x:c r="T35" s="8">
        <x:f t="shared" si="19"/>
        <x:v>489271.51488087134</x:v>
      </x:c>
      <x:c r="U35" s="8">
        <x:f t="shared" si="19"/>
        <x:v>489271.51488087134</x:v>
      </x:c>
      <x:c r="V35" s="8">
        <x:f t="shared" si="19"/>
        <x:v>489271.51488087134</x:v>
      </x:c>
      <x:c r="W35" s="8">
        <x:f t="shared" si="19"/>
        <x:v>489271.51488087134</x:v>
      </x:c>
      <x:c r="X35" s="8">
        <x:f t="shared" si="19"/>
        <x:v>489271.51488087134</x:v>
      </x:c>
      <x:c r="Y35" s="8">
        <x:f t="shared" si="19"/>
        <x:v>489271.51488087134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581176.87668087136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-41900</x:v>
      </x:c>
      <x:c r="E36" s="8">
        <x:f t="shared" si="20"/>
        <x:v>-61755</x:v>
      </x:c>
      <x:c r="F36" s="8">
        <x:f t="shared" si="20"/>
        <x:v>-90055</x:v>
      </x:c>
      <x:c r="G36" s="8">
        <x:f t="shared" si="20"/>
        <x:v>-109855</x:v>
      </x:c>
      <x:c r="H36" s="8">
        <x:f t="shared" si="20"/>
        <x:v>-70215</x:v>
      </x:c>
      <x:c r="I36" s="8">
        <x:f t="shared" si="20"/>
        <x:v>-75565</x:v>
      </x:c>
      <x:c r="J36" s="8">
        <x:f t="shared" si="20"/>
        <x:v>-76315</x:v>
      </x:c>
      <x:c r="K36" s="8">
        <x:f t="shared" si="20"/>
        <x:v>-14675</x:v>
      </x:c>
      <x:c r="L36" s="8">
        <x:f t="shared" si="20"/>
        <x:v>16725</x:v>
      </x:c>
      <x:c r="M36" s="8">
        <x:f t="shared" si="20"/>
        <x:v>64125</x:v>
      </x:c>
      <x:c r="N36" s="8">
        <x:f t="shared" si="20"/>
        <x:v>191315</x:v>
      </x:c>
      <x:c r="O36" s="8">
        <x:f t="shared" si="20"/>
        <x:v>264715</x:v>
      </x:c>
      <x:c r="P36" s="8">
        <x:f t="shared" si="20"/>
        <x:v>336781.66666666663</x:v>
      </x:c>
      <x:c r="Q36" s="8">
        <x:f t="shared" si="20"/>
        <x:v>398077.81845246197</x:v>
      </x:c>
      <x:c r="R36" s="8">
        <x:f t="shared" si="20"/>
        <x:v>483484.4851191286</x:v>
      </x:c>
      <x:c r="S36" s="8">
        <x:f t="shared" si="20"/>
        <x:v>568891.15178579523</x:v>
      </x:c>
      <x:c r="T36" s="8">
        <x:f t="shared" si="20"/>
        <x:v>710187.81845246186</x:v>
      </x:c>
      <x:c r="U36" s="8">
        <x:f t="shared" si="20"/>
        <x:v>810268.48511912848</x:v>
      </x:c>
      <x:c r="V36" s="8">
        <x:f t="shared" si="20"/>
        <x:v>910349.15178579511</x:v>
      </x:c>
      <x:c r="W36" s="8">
        <x:f t="shared" si="20"/>
        <x:v>1066319.8184524619</x:v>
      </x:c>
      <x:c r="X36" s="8">
        <x:f t="shared" si="20"/>
        <x:v>1182541.8851191285</x:v>
      </x:c>
      <x:c r="Y36" s="8">
        <x:f t="shared" si="20"/>
        <x:v>1298763.9517857952</x:v>
      </x:c>
      <x:c r="Z36" s="8">
        <x:f t="shared" si="20"/>
        <x:v>1470876.0184524618</x:v>
      </x:c>
      <x:c r="AA36" s="8">
        <x:f t="shared" si="20"/>
        <x:v>1604853.6251191285</x:v>
      </x:c>
      <x:c r="AB36" s="8">
        <x:f t="shared" si="20"/>
        <x:v>1738831.2317857952</x:v>
      </x:c>
      <x:c r="AC36" s="8">
        <x:f t="shared" si="20"/>
        <x:v>1725420.9617715906</x:v>
      </x:c>
    </x:row>
    <x:row r="37" ht="19.950000762939453" customHeight="1">
      <x:c r="A37" s="6" t="s">
        <x:v>156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157</x:v>
      </x:c>
      <x:c r="B38" s="1"/>
      <x:c r="C38" s="1"/>
      <x:c r="D38" s="2">
        <x:v>0</x:v>
      </x:c>
      <x:c r="E38" s="2" t="n">
        <x:f>Inputs!$B$14*SUM(D47:E47)</x:f>
        <x:v>27945</x:v>
      </x:c>
      <x:c r="F38" s="2">
        <x:v>0</x:v>
      </x:c>
      <x:c r="G38" s="2">
        <x:v>0</x:v>
      </x:c>
      <x:c r="H38" s="2" t="n">
        <x:f>Inputs!$B$14*SUM(F47:H47)</x:f>
        <x:v>55890</x:v>
      </x:c>
      <x:c r="I38" s="2">
        <x:v>0</x:v>
      </x:c>
      <x:c r="J38" s="2">
        <x:v>0</x:v>
      </x:c>
      <x:c r="K38" s="2" t="n">
        <x:f>Inputs!$B$14*SUM(I47:K47)</x:f>
        <x:v>55890</x:v>
      </x:c>
      <x:c r="L38" s="2">
        <x:v>0</x:v>
      </x:c>
      <x:c r="M38" s="2">
        <x:v>0</x:v>
      </x:c>
      <x:c r="N38" s="2" t="n">
        <x:f>Inputs!$B$14*SUM(L47:N47)</x:f>
        <x:v>55890</x:v>
      </x:c>
      <x:c r="O38" s="2">
        <x:v>0</x:v>
      </x:c>
      <x:c r="P38" s="2">
        <x:v>0</x:v>
      </x:c>
      <x:c r="Q38" s="2" t="n">
        <x:f>Inputs!$B$14*SUM(O47:Q47)</x:f>
        <x:v>55890</x:v>
      </x:c>
      <x:c r="R38" s="2">
        <x:v>0</x:v>
      </x:c>
      <x:c r="S38" s="2">
        <x:v>0</x:v>
      </x:c>
      <x:c r="T38" s="2" t="n">
        <x:f>Inputs!$B$11*SUM(R47:T47)</x:f>
        <x:v>55890</x:v>
      </x:c>
      <x:c r="U38" s="2">
        <x:v>0</x:v>
      </x:c>
      <x:c r="V38" s="2">
        <x:v>0</x:v>
      </x:c>
      <x:c r="W38" s="2" t="n">
        <x:f>Inputs!$B$11*SUM(U47:W47)</x:f>
        <x:v>55890</x:v>
      </x:c>
      <x:c r="X38" s="2">
        <x:v>0</x:v>
      </x:c>
      <x:c r="Y38" s="2">
        <x:v>0</x:v>
      </x:c>
      <x:c r="Z38" s="2" t="n">
        <x:f>Inputs!$B$11*SUM(X47:Z47)</x:f>
        <x:v>55890</x:v>
      </x:c>
      <x:c r="AA38" s="2">
        <x:v>0</x:v>
      </x:c>
      <x:c r="AB38" s="2">
        <x:v>0</x:v>
      </x:c>
      <x:c r="AC38" s="2" t="n">
        <x:f>Inputs!$B$11*SUM(AA47:AC47)</x:f>
        <x:v>55890</x:v>
      </x:c>
    </x:row>
    <x:row r="39" ht="19.950000762939453" customHeight="1">
      <x:c r="A39" s="5" t="s">
        <x:v>158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159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160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161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162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163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164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165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166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167</x:v>
      </x:c>
      <x:c r="B48" s="7"/>
      <x:c r="C48" s="7"/>
      <x:c r="D48" s="8" t="n">
        <x:f t="shared" ref="D48:AC48" si="27">D28+D29</x:f>
        <x:v>-84900</x:v>
      </x:c>
      <x:c r="E48" s="8">
        <x:f t="shared" si="27"/>
        <x:v>-163800</x:v>
      </x:c>
      <x:c r="F48" s="8">
        <x:f t="shared" si="27"/>
        <x:v>-28300</x:v>
      </x:c>
      <x:c r="G48" s="8">
        <x:f t="shared" si="27"/>
        <x:v>-19800</x:v>
      </x:c>
      <x:c r="H48" s="8">
        <x:f t="shared" si="27"/>
        <x:v>-16250</x:v>
      </x:c>
      <x:c r="I48" s="8">
        <x:f t="shared" si="27"/>
        <x:v>-5350</x:v>
      </x:c>
      <x:c r="J48" s="8">
        <x:f t="shared" si="27"/>
        <x:v>-750</x:v>
      </x:c>
      <x:c r="K48" s="8">
        <x:f t="shared" si="27"/>
        <x:v>5750</x:v>
      </x:c>
      <x:c r="L48" s="8">
        <x:f t="shared" si="27"/>
        <x:v>31400</x:v>
      </x:c>
      <x:c r="M48" s="8">
        <x:f t="shared" si="27"/>
        <x:v>47400</x:v>
      </x:c>
      <x:c r="N48" s="8">
        <x:f t="shared" si="27"/>
        <x:v>71300</x:v>
      </x:c>
      <x:c r="O48" s="8">
        <x:f t="shared" si="27"/>
        <x:v>73400</x:v>
      </x:c>
      <x:c r="P48" s="8">
        <x:f t="shared" si="27"/>
        <x:v>72066.666666666657</x:v>
      </x:c>
      <x:c r="Q48" s="8">
        <x:f t="shared" si="27"/>
        <x:v>72066.666666666657</x:v>
      </x:c>
      <x:c r="R48" s="8">
        <x:f t="shared" si="27"/>
        <x:v>85406.666666666657</x:v>
      </x:c>
      <x:c r="S48" s="8">
        <x:f t="shared" si="27"/>
        <x:v>85406.666666666657</x:v>
      </x:c>
      <x:c r="T48" s="8">
        <x:f t="shared" si="27"/>
        <x:v>85406.666666666657</x:v>
      </x:c>
      <x:c r="U48" s="8">
        <x:f t="shared" si="27"/>
        <x:v>100080.66666666666</x:v>
      </x:c>
      <x:c r="V48" s="8">
        <x:f t="shared" si="27"/>
        <x:v>100080.66666666666</x:v>
      </x:c>
      <x:c r="W48" s="8">
        <x:f t="shared" si="27"/>
        <x:v>100080.66666666666</x:v>
      </x:c>
      <x:c r="X48" s="8">
        <x:f t="shared" si="27"/>
        <x:v>116222.06666666668</x:v>
      </x:c>
      <x:c r="Y48" s="8">
        <x:f t="shared" si="27"/>
        <x:v>116222.06666666668</x:v>
      </x:c>
      <x:c r="Z48" s="8">
        <x:f t="shared" si="27"/>
        <x:v>86950.551785795338</x:v>
      </x:c>
      <x:c r="AA48" s="8">
        <x:f t="shared" si="27"/>
        <x:v>133977.60666666669</x:v>
      </x:c>
      <x:c r="AB48" s="8">
        <x:f t="shared" si="27"/>
        <x:v>133977.60666666669</x:v>
      </x:c>
      <x:c r="AC48" s="8">
        <x:f t="shared" si="27"/>
        <x:v>133977.60666666669</x:v>
      </x:c>
    </x:row>
    <x:row r="49" ht="19.950000762939453" customHeight="1">
      <x:c r="A49" s="5" t="s">
        <x:v>168</x:v>
      </x:c>
      <x:c r="B49" s="1"/>
      <x:c r="C49" s="1"/>
      <x:c r="D49" s="2" t="n">
        <x:f>D48</x:f>
        <x:v>-84900</x:v>
      </x:c>
      <x:c r="E49" s="2" t="n">
        <x:f t="shared" ref="E49:AC49" si="28">D49+E48</x:f>
        <x:v>-248700</x:v>
      </x:c>
      <x:c r="F49" s="2">
        <x:f t="shared" si="28"/>
        <x:v>-277000</x:v>
      </x:c>
      <x:c r="G49" s="2">
        <x:f t="shared" si="28"/>
        <x:v>-296800</x:v>
      </x:c>
      <x:c r="H49" s="2">
        <x:f t="shared" si="28"/>
        <x:v>-313050</x:v>
      </x:c>
      <x:c r="I49" s="2">
        <x:f t="shared" si="28"/>
        <x:v>-318400</x:v>
      </x:c>
      <x:c r="J49" s="2">
        <x:f t="shared" si="28"/>
        <x:v>-319150</x:v>
      </x:c>
      <x:c r="K49" s="2">
        <x:f t="shared" si="28"/>
        <x:v>-313400</x:v>
      </x:c>
      <x:c r="L49" s="2">
        <x:f t="shared" si="28"/>
        <x:v>-282000</x:v>
      </x:c>
      <x:c r="M49" s="2">
        <x:f t="shared" si="28"/>
        <x:v>-234600</x:v>
      </x:c>
      <x:c r="N49" s="2">
        <x:f t="shared" si="28"/>
        <x:v>-163300</x:v>
      </x:c>
      <x:c r="O49" s="2">
        <x:f t="shared" si="28"/>
        <x:v>-89900</x:v>
      </x:c>
      <x:c r="P49" s="2">
        <x:f t="shared" si="28"/>
        <x:v>-17833.333333333343</x:v>
      </x:c>
      <x:c r="Q49" s="2">
        <x:f t="shared" si="28"/>
        <x:v>54233.333333333314</x:v>
      </x:c>
      <x:c r="R49" s="2">
        <x:f t="shared" si="28"/>
        <x:v>139639.99999999997</x:v>
      </x:c>
      <x:c r="S49" s="2">
        <x:f t="shared" si="28"/>
        <x:v>225046.66666666663</x:v>
      </x:c>
      <x:c r="T49" s="2">
        <x:f t="shared" si="28"/>
        <x:v>310453.33333333326</x:v>
      </x:c>
      <x:c r="U49" s="2">
        <x:f t="shared" si="28"/>
        <x:v>410533.99999999988</x:v>
      </x:c>
      <x:c r="V49" s="2">
        <x:f t="shared" si="28"/>
        <x:v>510614.66666666651</x:v>
      </x:c>
      <x:c r="W49" s="2">
        <x:f t="shared" si="28"/>
        <x:v>610695.33333333314</x:v>
      </x:c>
      <x:c r="X49" s="2">
        <x:f t="shared" si="28"/>
        <x:v>726917.39999999979</x:v>
      </x:c>
      <x:c r="Y49" s="2">
        <x:f t="shared" si="28"/>
        <x:v>843139.46666666644</x:v>
      </x:c>
      <x:c r="Z49" s="2">
        <x:f t="shared" si="28"/>
        <x:v>930090.01845246181</x:v>
      </x:c>
      <x:c r="AA49" s="2">
        <x:f t="shared" si="28"/>
        <x:v>1064067.6251191285</x:v>
      </x:c>
      <x:c r="AB49" s="2">
        <x:f t="shared" si="28"/>
        <x:v>1198045.2317857952</x:v>
      </x:c>
      <x:c r="AC49" s="2">
        <x:f t="shared" si="28"/>
        <x:v>1332022.8384524619</x:v>
      </x:c>
    </x:row>
    <x:row r="50" ht="19.950000762939453" customHeight="1">
      <x:c r="A50" s="5" t="s">
        <x:v>169</x:v>
      </x:c>
      <x:c r="B50" s="1"/>
      <x:c r="C50" s="1"/>
      <x:c r="D50" s="2" t="n">
        <x:f>MAX(0,D33-D25-Inputs!$B$17)</x:f>
        <x:v>165100</x:v>
      </x:c>
      <x:c r="E50" s="2" t="n">
        <x:f>MAX(0,E33-E25-Inputs!$B$17)</x:f>
        <x:v>1300</x:v>
      </x:c>
      <x:c r="F50" s="2" t="n">
        <x:f>MAX(0,F33-F25-Inputs!$B$17)</x:f>
        <x:v>83000</x:v>
      </x:c>
      <x:c r="G50" s="2" t="n">
        <x:f>MAX(0,G33-G25-Inputs!$B$17)</x:f>
        <x:v>63200</x:v>
      </x:c>
      <x:c r="H50" s="2" t="n">
        <x:f>MAX(0,H33-H25-Inputs!$B$17)</x:f>
        <x:v>46950</x:v>
      </x:c>
      <x:c r="I50" s="2" t="n">
        <x:f>MAX(0,I33-I25-Inputs!$B$17)</x:f>
        <x:v>91600</x:v>
      </x:c>
      <x:c r="J50" s="2" t="n">
        <x:f>MAX(0,J33-J25-Inputs!$B$17)</x:f>
        <x:v>90850</x:v>
      </x:c>
      <x:c r="K50" s="2" t="n">
        <x:f>MAX(0,K33-K25-Inputs!$B$17)</x:f>
        <x:v>96600</x:v>
      </x:c>
      <x:c r="L50" s="2" t="n">
        <x:f>MAX(0,L33-L25-Inputs!$B$17)</x:f>
        <x:v>128000</x:v>
      </x:c>
      <x:c r="M50" s="2" t="n">
        <x:f>MAX(0,M33-M25-Inputs!$B$17)</x:f>
        <x:v>175400</x:v>
      </x:c>
      <x:c r="N50" s="2" t="n">
        <x:f>MAX(0,N33-N25-Inputs!$B$17)</x:f>
        <x:v>246700</x:v>
      </x:c>
      <x:c r="O50" s="2" t="n">
        <x:f>MAX(0,O33-O25-Inputs!$B$17)</x:f>
        <x:v>320100</x:v>
      </x:c>
      <x:c r="P50" s="2" t="n">
        <x:f>MAX(0,P33-P25-Inputs!$B$17)</x:f>
        <x:v>392166.6666666666</x:v>
      </x:c>
      <x:c r="Q50" s="2" t="n">
        <x:f>MAX(0,Q33-Q25-Inputs!$B$17)</x:f>
        <x:v>434961.8184524619</x:v>
      </x:c>
      <x:c r="R50" s="2" t="n">
        <x:f>MAX(0,R33-R25-Inputs!$B$17)</x:f>
        <x:v>520368.4851191286</x:v>
      </x:c>
      <x:c r="S50" s="2" t="n">
        <x:f>MAX(0,S33-S25-Inputs!$B$17)</x:f>
        <x:v>605775.1517857952</x:v>
      </x:c>
      <x:c r="T50" s="2" t="n">
        <x:f>MAX(0,T33-T25-Inputs!$B$17)</x:f>
        <x:v>691181.8184524619</x:v>
      </x:c>
      <x:c r="U50" s="2" t="n">
        <x:f>MAX(0,U33-U25-Inputs!$B$17)</x:f>
        <x:v>791262.4851191285</x:v>
      </x:c>
      <x:c r="V50" s="2" t="n">
        <x:f>MAX(0,V33-V25-Inputs!$B$17)</x:f>
        <x:v>891343.1517857951</x:v>
      </x:c>
      <x:c r="W50" s="2" t="n">
        <x:f>MAX(0,W33-W25-Inputs!$B$17)</x:f>
        <x:v>991423.8184524617</x:v>
      </x:c>
      <x:c r="X50" s="2" t="n">
        <x:f>MAX(0,X33-X25-Inputs!$B$17)</x:f>
        <x:v>1107645.8851191283</x:v>
      </x:c>
      <x:c r="Y50" s="2" t="n">
        <x:f>MAX(0,Y33-Y25-Inputs!$B$17)</x:f>
        <x:v>1223867.951785795</x:v>
      </x:c>
      <x:c r="Z50" s="2" t="n">
        <x:f>MAX(0,Z33-Z25-Inputs!$B$17)</x:f>
        <x:v>1340090.0184524616</x:v>
      </x:c>
      <x:c r="AA50" s="2" t="n">
        <x:f>MAX(0,AA33-AA25-Inputs!$B$17)</x:f>
        <x:v>1474067.6251191283</x:v>
      </x:c>
      <x:c r="AB50" s="2" t="n">
        <x:f>MAX(0,AB33-AB25-Inputs!$B$17)</x:f>
        <x:v>1608045.231785795</x:v>
      </x:c>
      <x:c r="AC50" s="2" t="n">
        <x:f>MAX(0,AC33-AC25-Inputs!$B$17)</x:f>
        <x:v>1620845.9617715904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51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  <x:legacyDrawing xmlns:r="http://schemas.openxmlformats.org/officeDocument/2006/relationships" r:id="R7bd47fc535af41ae"/>
</x:worksheet>
</file>